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65" yWindow="-60" windowWidth="19365" windowHeight="8685" tabRatio="808" firstSheet="11" activeTab="20"/>
  </bookViews>
  <sheets>
    <sheet name="General" sheetId="25" r:id="rId1"/>
    <sheet name="SEN" sheetId="27" r:id="rId2"/>
    <sheet name="GHA" sheetId="36" r:id="rId3"/>
    <sheet name="GAM" sheetId="28" r:id="rId4"/>
    <sheet name="GBI" sheetId="29" r:id="rId5"/>
    <sheet name="GUI" sheetId="30" r:id="rId6"/>
    <sheet name="SIE" sheetId="32" r:id="rId7"/>
    <sheet name="LIB" sheetId="33" r:id="rId8"/>
    <sheet name="MAL" sheetId="34" r:id="rId9"/>
    <sheet name="CIV" sheetId="35" r:id="rId10"/>
    <sheet name="extrapolation CIV" sheetId="31" r:id="rId11"/>
    <sheet name="TBN" sheetId="38" r:id="rId12"/>
    <sheet name="BUR" sheetId="39" r:id="rId13"/>
    <sheet name="NIG" sheetId="40" r:id="rId14"/>
    <sheet name="NGA" sheetId="41" r:id="rId15"/>
    <sheet name="GHA-NGA extrapolations" sheetId="37" r:id="rId16"/>
    <sheet name="SourceData" sheetId="26" r:id="rId17"/>
    <sheet name="MSG_Demand" sheetId="8" r:id="rId18"/>
    <sheet name="MSG_Imps_Losses" sheetId="24" r:id="rId19"/>
    <sheet name="For model" sheetId="42" r:id="rId20"/>
    <sheet name="DemandBreakdown" sheetId="44" r:id="rId21"/>
    <sheet name="Available Data" sheetId="43" r:id="rId2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2" hidden="1">BUR!$C$5</definedName>
    <definedName name="solver_adj" localSheetId="9" hidden="1">CIV!$C$5</definedName>
    <definedName name="solver_adj" localSheetId="3" hidden="1">GAM!$C$5</definedName>
    <definedName name="solver_adj" localSheetId="4" hidden="1">GBI!$C$5</definedName>
    <definedName name="solver_adj" localSheetId="2" hidden="1">GHA!$C$5</definedName>
    <definedName name="solver_adj" localSheetId="5" hidden="1">GUI!$C$5</definedName>
    <definedName name="solver_adj" localSheetId="7" hidden="1">LIB!$C$5</definedName>
    <definedName name="solver_adj" localSheetId="8" hidden="1">MAL!$C$5</definedName>
    <definedName name="solver_adj" localSheetId="14" hidden="1">NGA!$C$5</definedName>
    <definedName name="solver_adj" localSheetId="13" hidden="1">NIG!$C$5</definedName>
    <definedName name="solver_adj" localSheetId="1" hidden="1">SEN!$C$5</definedName>
    <definedName name="solver_adj" localSheetId="6" hidden="1">SIE!$C$5</definedName>
    <definedName name="solver_adj" localSheetId="11" hidden="1">TBN!$C$5</definedName>
    <definedName name="solver_cvg" localSheetId="12" hidden="1">0.0001</definedName>
    <definedName name="solver_cvg" localSheetId="9" hidden="1">0.0001</definedName>
    <definedName name="solver_cvg" localSheetId="3" hidden="1">0.0001</definedName>
    <definedName name="solver_cvg" localSheetId="4" hidden="1">0.0001</definedName>
    <definedName name="solver_cvg" localSheetId="2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4" hidden="1">0.0001</definedName>
    <definedName name="solver_cvg" localSheetId="13" hidden="1">0.0001</definedName>
    <definedName name="solver_cvg" localSheetId="1" hidden="1">0.0001</definedName>
    <definedName name="solver_cvg" localSheetId="6" hidden="1">0.0001</definedName>
    <definedName name="solver_cvg" localSheetId="11" hidden="1">0.0001</definedName>
    <definedName name="solver_drv" localSheetId="12" hidden="1">1</definedName>
    <definedName name="solver_drv" localSheetId="9" hidden="1">1</definedName>
    <definedName name="solver_drv" localSheetId="3" hidden="1">1</definedName>
    <definedName name="solver_drv" localSheetId="4" hidden="1">1</definedName>
    <definedName name="solver_drv" localSheetId="2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4" hidden="1">1</definedName>
    <definedName name="solver_drv" localSheetId="13" hidden="1">1</definedName>
    <definedName name="solver_drv" localSheetId="1" hidden="1">1</definedName>
    <definedName name="solver_drv" localSheetId="6" hidden="1">1</definedName>
    <definedName name="solver_drv" localSheetId="11" hidden="1">1</definedName>
    <definedName name="solver_est" localSheetId="12" hidden="1">1</definedName>
    <definedName name="solver_est" localSheetId="9" hidden="1">1</definedName>
    <definedName name="solver_est" localSheetId="3" hidden="1">1</definedName>
    <definedName name="solver_est" localSheetId="4" hidden="1">1</definedName>
    <definedName name="solver_est" localSheetId="2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4" hidden="1">1</definedName>
    <definedName name="solver_est" localSheetId="13" hidden="1">1</definedName>
    <definedName name="solver_est" localSheetId="1" hidden="1">1</definedName>
    <definedName name="solver_est" localSheetId="6" hidden="1">1</definedName>
    <definedName name="solver_est" localSheetId="11" hidden="1">1</definedName>
    <definedName name="solver_itr" localSheetId="12" hidden="1">100</definedName>
    <definedName name="solver_itr" localSheetId="9" hidden="1">100</definedName>
    <definedName name="solver_itr" localSheetId="3" hidden="1">100</definedName>
    <definedName name="solver_itr" localSheetId="4" hidden="1">100</definedName>
    <definedName name="solver_itr" localSheetId="2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4" hidden="1">100</definedName>
    <definedName name="solver_itr" localSheetId="13" hidden="1">100</definedName>
    <definedName name="solver_itr" localSheetId="1" hidden="1">100</definedName>
    <definedName name="solver_itr" localSheetId="6" hidden="1">100</definedName>
    <definedName name="solver_itr" localSheetId="11" hidden="1">100</definedName>
    <definedName name="solver_lin" localSheetId="12" hidden="1">2</definedName>
    <definedName name="solver_lin" localSheetId="9" hidden="1">2</definedName>
    <definedName name="solver_lin" localSheetId="3" hidden="1">2</definedName>
    <definedName name="solver_lin" localSheetId="4" hidden="1">2</definedName>
    <definedName name="solver_lin" localSheetId="2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4" hidden="1">2</definedName>
    <definedName name="solver_lin" localSheetId="13" hidden="1">2</definedName>
    <definedName name="solver_lin" localSheetId="1" hidden="1">2</definedName>
    <definedName name="solver_lin" localSheetId="6" hidden="1">2</definedName>
    <definedName name="solver_lin" localSheetId="11" hidden="1">2</definedName>
    <definedName name="solver_neg" localSheetId="12" hidden="1">2</definedName>
    <definedName name="solver_neg" localSheetId="9" hidden="1">2</definedName>
    <definedName name="solver_neg" localSheetId="3" hidden="1">2</definedName>
    <definedName name="solver_neg" localSheetId="4" hidden="1">2</definedName>
    <definedName name="solver_neg" localSheetId="2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4" hidden="1">2</definedName>
    <definedName name="solver_neg" localSheetId="13" hidden="1">2</definedName>
    <definedName name="solver_neg" localSheetId="1" hidden="1">2</definedName>
    <definedName name="solver_neg" localSheetId="6" hidden="1">2</definedName>
    <definedName name="solver_neg" localSheetId="11" hidden="1">2</definedName>
    <definedName name="solver_num" localSheetId="12" hidden="1">0</definedName>
    <definedName name="solver_num" localSheetId="9" hidden="1">0</definedName>
    <definedName name="solver_num" localSheetId="3" hidden="1">0</definedName>
    <definedName name="solver_num" localSheetId="4" hidden="1">0</definedName>
    <definedName name="solver_num" localSheetId="2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4" hidden="1">0</definedName>
    <definedName name="solver_num" localSheetId="13" hidden="1">0</definedName>
    <definedName name="solver_num" localSheetId="1" hidden="1">0</definedName>
    <definedName name="solver_num" localSheetId="6" hidden="1">0</definedName>
    <definedName name="solver_num" localSheetId="11" hidden="1">0</definedName>
    <definedName name="solver_nwt" localSheetId="12" hidden="1">1</definedName>
    <definedName name="solver_nwt" localSheetId="9" hidden="1">1</definedName>
    <definedName name="solver_nwt" localSheetId="3" hidden="1">1</definedName>
    <definedName name="solver_nwt" localSheetId="4" hidden="1">1</definedName>
    <definedName name="solver_nwt" localSheetId="2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4" hidden="1">1</definedName>
    <definedName name="solver_nwt" localSheetId="13" hidden="1">1</definedName>
    <definedName name="solver_nwt" localSheetId="1" hidden="1">1</definedName>
    <definedName name="solver_nwt" localSheetId="6" hidden="1">1</definedName>
    <definedName name="solver_nwt" localSheetId="11" hidden="1">1</definedName>
    <definedName name="solver_opt" localSheetId="12" hidden="1">BUR!$C$27</definedName>
    <definedName name="solver_opt" localSheetId="9" hidden="1">CIV!$C$27</definedName>
    <definedName name="solver_opt" localSheetId="3" hidden="1">GAM!$C$27</definedName>
    <definedName name="solver_opt" localSheetId="4" hidden="1">GBI!$C$27</definedName>
    <definedName name="solver_opt" localSheetId="2" hidden="1">GHA!$C$27</definedName>
    <definedName name="solver_opt" localSheetId="5" hidden="1">GUI!$C$27</definedName>
    <definedName name="solver_opt" localSheetId="7" hidden="1">LIB!$C$27</definedName>
    <definedName name="solver_opt" localSheetId="8" hidden="1">MAL!$C$27</definedName>
    <definedName name="solver_opt" localSheetId="14" hidden="1">NGA!$C$27</definedName>
    <definedName name="solver_opt" localSheetId="13" hidden="1">NIG!$C$27</definedName>
    <definedName name="solver_opt" localSheetId="1" hidden="1">SEN!$C$27</definedName>
    <definedName name="solver_opt" localSheetId="6" hidden="1">SIE!$C$27</definedName>
    <definedName name="solver_opt" localSheetId="11" hidden="1">TBN!$C$27</definedName>
    <definedName name="solver_pre" localSheetId="12" hidden="1">0.000001</definedName>
    <definedName name="solver_pre" localSheetId="9" hidden="1">0.000001</definedName>
    <definedName name="solver_pre" localSheetId="3" hidden="1">0.000001</definedName>
    <definedName name="solver_pre" localSheetId="4" hidden="1">0.000001</definedName>
    <definedName name="solver_pre" localSheetId="2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4" hidden="1">0.000001</definedName>
    <definedName name="solver_pre" localSheetId="13" hidden="1">0.000001</definedName>
    <definedName name="solver_pre" localSheetId="1" hidden="1">0.000001</definedName>
    <definedName name="solver_pre" localSheetId="6" hidden="1">0.000001</definedName>
    <definedName name="solver_pre" localSheetId="11" hidden="1">0.000001</definedName>
    <definedName name="solver_scl" localSheetId="12" hidden="1">2</definedName>
    <definedName name="solver_scl" localSheetId="9" hidden="1">2</definedName>
    <definedName name="solver_scl" localSheetId="3" hidden="1">2</definedName>
    <definedName name="solver_scl" localSheetId="4" hidden="1">2</definedName>
    <definedName name="solver_scl" localSheetId="2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4" hidden="1">2</definedName>
    <definedName name="solver_scl" localSheetId="13" hidden="1">2</definedName>
    <definedName name="solver_scl" localSheetId="1" hidden="1">2</definedName>
    <definedName name="solver_scl" localSheetId="6" hidden="1">2</definedName>
    <definedName name="solver_scl" localSheetId="11" hidden="1">2</definedName>
    <definedName name="solver_sho" localSheetId="12" hidden="1">2</definedName>
    <definedName name="solver_sho" localSheetId="9" hidden="1">2</definedName>
    <definedName name="solver_sho" localSheetId="3" hidden="1">2</definedName>
    <definedName name="solver_sho" localSheetId="4" hidden="1">2</definedName>
    <definedName name="solver_sho" localSheetId="2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4" hidden="1">2</definedName>
    <definedName name="solver_sho" localSheetId="13" hidden="1">2</definedName>
    <definedName name="solver_sho" localSheetId="1" hidden="1">2</definedName>
    <definedName name="solver_sho" localSheetId="6" hidden="1">2</definedName>
    <definedName name="solver_sho" localSheetId="11" hidden="1">2</definedName>
    <definedName name="solver_tim" localSheetId="12" hidden="1">100</definedName>
    <definedName name="solver_tim" localSheetId="9" hidden="1">100</definedName>
    <definedName name="solver_tim" localSheetId="3" hidden="1">100</definedName>
    <definedName name="solver_tim" localSheetId="4" hidden="1">100</definedName>
    <definedName name="solver_tim" localSheetId="2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4" hidden="1">100</definedName>
    <definedName name="solver_tim" localSheetId="13" hidden="1">100</definedName>
    <definedName name="solver_tim" localSheetId="1" hidden="1">100</definedName>
    <definedName name="solver_tim" localSheetId="6" hidden="1">100</definedName>
    <definedName name="solver_tim" localSheetId="11" hidden="1">100</definedName>
    <definedName name="solver_tol" localSheetId="12" hidden="1">0.05</definedName>
    <definedName name="solver_tol" localSheetId="9" hidden="1">0.05</definedName>
    <definedName name="solver_tol" localSheetId="3" hidden="1">0.05</definedName>
    <definedName name="solver_tol" localSheetId="4" hidden="1">0.05</definedName>
    <definedName name="solver_tol" localSheetId="2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4" hidden="1">0.05</definedName>
    <definedName name="solver_tol" localSheetId="13" hidden="1">0.05</definedName>
    <definedName name="solver_tol" localSheetId="1" hidden="1">0.05</definedName>
    <definedName name="solver_tol" localSheetId="6" hidden="1">0.05</definedName>
    <definedName name="solver_tol" localSheetId="11" hidden="1">0.05</definedName>
    <definedName name="solver_typ" localSheetId="12" hidden="1">3</definedName>
    <definedName name="solver_typ" localSheetId="9" hidden="1">3</definedName>
    <definedName name="solver_typ" localSheetId="3" hidden="1">3</definedName>
    <definedName name="solver_typ" localSheetId="4" hidden="1">3</definedName>
    <definedName name="solver_typ" localSheetId="2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4" hidden="1">3</definedName>
    <definedName name="solver_typ" localSheetId="13" hidden="1">3</definedName>
    <definedName name="solver_typ" localSheetId="1" hidden="1">3</definedName>
    <definedName name="solver_typ" localSheetId="6" hidden="1">3</definedName>
    <definedName name="solver_typ" localSheetId="11" hidden="1">3</definedName>
    <definedName name="solver_val" localSheetId="12" hidden="1">0</definedName>
    <definedName name="solver_val" localSheetId="9" hidden="1">0</definedName>
    <definedName name="solver_val" localSheetId="3" hidden="1">0</definedName>
    <definedName name="solver_val" localSheetId="4" hidden="1">0</definedName>
    <definedName name="solver_val" localSheetId="2" hidden="1">0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14" hidden="1">0</definedName>
    <definedName name="solver_val" localSheetId="13" hidden="1">0</definedName>
    <definedName name="solver_val" localSheetId="1" hidden="1">0</definedName>
    <definedName name="solver_val" localSheetId="6" hidden="1">0</definedName>
    <definedName name="solver_val" localSheetId="11" hidden="1">0</definedName>
  </definedNames>
  <calcPr calcId="145621"/>
</workbook>
</file>

<file path=xl/calcChain.xml><?xml version="1.0" encoding="utf-8"?>
<calcChain xmlns="http://schemas.openxmlformats.org/spreadsheetml/2006/main">
  <c r="CB5" i="26" l="1"/>
  <c r="BX5" i="26"/>
  <c r="BL5" i="26"/>
  <c r="BH5" i="26"/>
  <c r="BD6" i="26"/>
  <c r="BD5" i="26" s="1"/>
  <c r="BT5" i="26" s="1"/>
  <c r="AL5" i="26"/>
  <c r="AK5" i="26"/>
  <c r="AJ5" i="26"/>
  <c r="AI5" i="26"/>
  <c r="AH5" i="26"/>
  <c r="AG5" i="26"/>
  <c r="AF5" i="26"/>
  <c r="AE5" i="26"/>
  <c r="AD5" i="26"/>
  <c r="N221" i="26"/>
  <c r="N203" i="26"/>
  <c r="N185" i="26"/>
  <c r="N167" i="26"/>
  <c r="N131" i="26"/>
  <c r="N5" i="26"/>
  <c r="Y5" i="26"/>
  <c r="N113" i="26"/>
  <c r="N95" i="26"/>
  <c r="N77" i="26"/>
  <c r="N59" i="26"/>
  <c r="AB5" i="26"/>
  <c r="N41" i="26"/>
  <c r="AA5" i="26"/>
  <c r="N23" i="26"/>
  <c r="AC5" i="26"/>
  <c r="Z5" i="26"/>
  <c r="B10" i="44"/>
  <c r="B15" i="44"/>
  <c r="B20" i="44"/>
  <c r="B25" i="44"/>
  <c r="B30" i="44"/>
  <c r="B35" i="44"/>
  <c r="B40" i="44"/>
  <c r="B45" i="44"/>
  <c r="B50" i="44"/>
  <c r="B55" i="44"/>
  <c r="B60" i="44"/>
  <c r="B65" i="44"/>
  <c r="CN71" i="44"/>
  <c r="DM72" i="44"/>
  <c r="BS40" i="26"/>
  <c r="J4" i="42"/>
  <c r="J5" i="42"/>
  <c r="J6" i="42"/>
  <c r="J7" i="42"/>
  <c r="J8" i="42"/>
  <c r="J9" i="42"/>
  <c r="J10" i="42"/>
  <c r="J11" i="42"/>
  <c r="J12" i="42"/>
  <c r="J13" i="42"/>
  <c r="J14" i="42"/>
  <c r="J15" i="42"/>
  <c r="J16" i="42"/>
  <c r="DM2" i="44"/>
  <c r="EJ4" i="44"/>
  <c r="EK4" i="44"/>
  <c r="DN4" i="44"/>
  <c r="AL52" i="44"/>
  <c r="AL51" i="44"/>
  <c r="AL47" i="44"/>
  <c r="AL46" i="44"/>
  <c r="H3" i="42"/>
  <c r="I3" i="42"/>
  <c r="G3" i="42"/>
  <c r="CN2" i="44"/>
  <c r="AP2" i="44"/>
  <c r="B12" i="44"/>
  <c r="B17" i="44"/>
  <c r="B22" i="44"/>
  <c r="B27" i="44"/>
  <c r="B32" i="44"/>
  <c r="B37" i="44"/>
  <c r="B42" i="44"/>
  <c r="B47" i="44"/>
  <c r="B52" i="44"/>
  <c r="B57" i="44"/>
  <c r="B62" i="44"/>
  <c r="B67" i="44"/>
  <c r="CN73" i="44"/>
  <c r="B11" i="44"/>
  <c r="B16" i="44"/>
  <c r="B21" i="44"/>
  <c r="B26" i="44"/>
  <c r="B31" i="44"/>
  <c r="B36" i="44"/>
  <c r="B41" i="44"/>
  <c r="B46" i="44"/>
  <c r="B51" i="44"/>
  <c r="B56" i="44"/>
  <c r="B61" i="44"/>
  <c r="B66" i="44"/>
  <c r="CN72" i="44"/>
  <c r="AK67" i="44"/>
  <c r="AK66" i="44"/>
  <c r="AK62" i="44"/>
  <c r="AK61" i="44"/>
  <c r="AK57" i="44"/>
  <c r="AK56" i="44"/>
  <c r="AK52" i="44"/>
  <c r="AK51" i="44"/>
  <c r="AK47" i="44"/>
  <c r="AK46" i="44"/>
  <c r="AK42" i="44"/>
  <c r="AK41" i="44"/>
  <c r="AK37" i="44"/>
  <c r="AK36" i="44"/>
  <c r="AK32" i="44"/>
  <c r="AK31" i="44"/>
  <c r="AK27" i="44"/>
  <c r="AK26" i="44"/>
  <c r="AK22" i="44"/>
  <c r="AK21" i="44"/>
  <c r="AK16" i="44"/>
  <c r="AK17" i="44"/>
  <c r="AK11" i="44"/>
  <c r="AK12" i="44"/>
  <c r="AK7" i="44"/>
  <c r="AK6" i="44"/>
  <c r="I9" i="44"/>
  <c r="I14" i="44"/>
  <c r="I19" i="44"/>
  <c r="I24" i="44"/>
  <c r="I29" i="44"/>
  <c r="I34" i="44"/>
  <c r="I39" i="44"/>
  <c r="I44" i="44"/>
  <c r="I49" i="44"/>
  <c r="I54" i="44"/>
  <c r="I59" i="44"/>
  <c r="I64" i="44"/>
  <c r="CM64" i="44"/>
  <c r="DL64" i="44"/>
  <c r="CL64" i="44"/>
  <c r="DK64" i="44"/>
  <c r="BP64" i="44"/>
  <c r="CO64" i="44"/>
  <c r="CM59" i="44"/>
  <c r="DL59" i="44"/>
  <c r="CL59" i="44"/>
  <c r="DK59" i="44"/>
  <c r="BP59" i="44"/>
  <c r="CO59" i="44"/>
  <c r="CM54" i="44"/>
  <c r="DL54" i="44"/>
  <c r="CL54" i="44"/>
  <c r="DK54" i="44"/>
  <c r="BP54" i="44"/>
  <c r="CO54" i="44"/>
  <c r="CM49" i="44"/>
  <c r="DL49" i="44"/>
  <c r="CL49" i="44"/>
  <c r="DK49" i="44"/>
  <c r="BP49" i="44"/>
  <c r="CO49" i="44"/>
  <c r="CM44" i="44"/>
  <c r="DL44" i="44"/>
  <c r="CL44" i="44"/>
  <c r="DK44" i="44"/>
  <c r="BP44" i="44"/>
  <c r="CO44" i="44"/>
  <c r="CM39" i="44"/>
  <c r="DL39" i="44"/>
  <c r="CL39" i="44"/>
  <c r="DK39" i="44"/>
  <c r="BP39" i="44"/>
  <c r="CO39" i="44"/>
  <c r="CM34" i="44"/>
  <c r="DL34" i="44"/>
  <c r="CL34" i="44"/>
  <c r="DK34" i="44"/>
  <c r="BP34" i="44"/>
  <c r="CO34" i="44"/>
  <c r="CM29" i="44"/>
  <c r="DL29" i="44"/>
  <c r="CL29" i="44"/>
  <c r="DK29" i="44"/>
  <c r="BP29" i="44"/>
  <c r="CO29" i="44"/>
  <c r="CM24" i="44"/>
  <c r="DL24" i="44"/>
  <c r="CL24" i="44"/>
  <c r="DK24" i="44"/>
  <c r="BP24" i="44"/>
  <c r="CO24" i="44"/>
  <c r="CM19" i="44"/>
  <c r="DL19" i="44"/>
  <c r="CL19" i="44"/>
  <c r="DK19" i="44"/>
  <c r="BP19" i="44"/>
  <c r="CO19" i="44"/>
  <c r="U67" i="44"/>
  <c r="P67" i="44"/>
  <c r="K67" i="44"/>
  <c r="U65" i="44"/>
  <c r="P65" i="44"/>
  <c r="K65" i="44"/>
  <c r="L64" i="44"/>
  <c r="M64" i="44"/>
  <c r="U62" i="44"/>
  <c r="P62" i="44"/>
  <c r="K62" i="44"/>
  <c r="U60" i="44"/>
  <c r="P60" i="44"/>
  <c r="K60" i="44"/>
  <c r="L59" i="44"/>
  <c r="M59" i="44"/>
  <c r="U57" i="44"/>
  <c r="P57" i="44"/>
  <c r="K57" i="44"/>
  <c r="U55" i="44"/>
  <c r="P55" i="44"/>
  <c r="K55" i="44"/>
  <c r="L54" i="44"/>
  <c r="M54" i="44"/>
  <c r="U52" i="44"/>
  <c r="P52" i="44"/>
  <c r="K52" i="44"/>
  <c r="U50" i="44"/>
  <c r="P50" i="44"/>
  <c r="K50" i="44"/>
  <c r="L49" i="44"/>
  <c r="M49" i="44"/>
  <c r="U47" i="44"/>
  <c r="P47" i="44"/>
  <c r="K47" i="44"/>
  <c r="U45" i="44"/>
  <c r="P45" i="44"/>
  <c r="K45" i="44"/>
  <c r="L44" i="44"/>
  <c r="M44" i="44"/>
  <c r="U42" i="44"/>
  <c r="P42" i="44"/>
  <c r="K42" i="44"/>
  <c r="U40" i="44"/>
  <c r="P40" i="44"/>
  <c r="K40" i="44"/>
  <c r="L39" i="44"/>
  <c r="M39" i="44"/>
  <c r="U37" i="44"/>
  <c r="P37" i="44"/>
  <c r="K37" i="44"/>
  <c r="U35" i="44"/>
  <c r="P35" i="44"/>
  <c r="K35" i="44"/>
  <c r="L34" i="44"/>
  <c r="M34" i="44"/>
  <c r="U32" i="44"/>
  <c r="P32" i="44"/>
  <c r="K32" i="44"/>
  <c r="K30" i="44"/>
  <c r="L29" i="44"/>
  <c r="M29" i="44"/>
  <c r="U27" i="44"/>
  <c r="P27" i="44"/>
  <c r="K27" i="44"/>
  <c r="K25" i="44"/>
  <c r="L24" i="44"/>
  <c r="M24" i="44"/>
  <c r="U22" i="44"/>
  <c r="P22" i="44"/>
  <c r="K22" i="44"/>
  <c r="K20" i="44"/>
  <c r="L19" i="44"/>
  <c r="M19" i="44"/>
  <c r="U17" i="44"/>
  <c r="P17" i="44"/>
  <c r="K17" i="44"/>
  <c r="K15" i="44"/>
  <c r="L14" i="44"/>
  <c r="M14" i="44"/>
  <c r="U12" i="44"/>
  <c r="P12" i="44"/>
  <c r="K12" i="44"/>
  <c r="U10" i="44"/>
  <c r="P10" i="44"/>
  <c r="K10" i="44"/>
  <c r="M9" i="44"/>
  <c r="L9" i="44"/>
  <c r="F66" i="44"/>
  <c r="P66" i="44"/>
  <c r="F61" i="44"/>
  <c r="P61" i="44"/>
  <c r="F56" i="44"/>
  <c r="P56" i="44"/>
  <c r="F51" i="44"/>
  <c r="P51" i="44"/>
  <c r="F46" i="44"/>
  <c r="P46" i="44"/>
  <c r="F41" i="44"/>
  <c r="P41" i="44"/>
  <c r="F36" i="44"/>
  <c r="P36" i="44"/>
  <c r="F11" i="44"/>
  <c r="P11" i="44"/>
  <c r="P7" i="44"/>
  <c r="P5" i="44"/>
  <c r="F6" i="44"/>
  <c r="P6" i="44"/>
  <c r="CL9" i="44"/>
  <c r="DK9" i="44"/>
  <c r="CM9" i="44"/>
  <c r="DL9" i="44"/>
  <c r="CL4" i="44"/>
  <c r="DK4" i="44"/>
  <c r="DK70" i="44"/>
  <c r="CM4" i="44"/>
  <c r="DL4" i="44"/>
  <c r="DL70" i="44"/>
  <c r="CL14" i="44"/>
  <c r="DK14" i="44"/>
  <c r="CM14" i="44"/>
  <c r="DL14" i="44"/>
  <c r="BP14" i="44"/>
  <c r="CO14" i="44"/>
  <c r="BP9" i="44"/>
  <c r="CO9" i="44"/>
  <c r="AO67" i="44"/>
  <c r="BN67" i="44"/>
  <c r="EK67" i="44"/>
  <c r="AO66" i="44"/>
  <c r="BN66" i="44"/>
  <c r="EK66" i="44"/>
  <c r="AM65" i="44"/>
  <c r="AO64" i="44"/>
  <c r="AN64" i="44"/>
  <c r="AM64" i="44"/>
  <c r="AL64" i="44"/>
  <c r="AO62" i="44"/>
  <c r="AO61" i="44"/>
  <c r="BN61" i="44"/>
  <c r="EK61" i="44"/>
  <c r="AM60" i="44"/>
  <c r="AO59" i="44"/>
  <c r="AN59" i="44"/>
  <c r="AM59" i="44"/>
  <c r="AL59" i="44"/>
  <c r="AO57" i="44"/>
  <c r="AO56" i="44"/>
  <c r="AM55" i="44"/>
  <c r="AO54" i="44"/>
  <c r="AN54" i="44"/>
  <c r="AM54" i="44"/>
  <c r="AL54" i="44"/>
  <c r="AO52" i="44"/>
  <c r="AO51" i="44"/>
  <c r="AM50" i="44"/>
  <c r="AO49" i="44"/>
  <c r="AN49" i="44"/>
  <c r="AM49" i="44"/>
  <c r="AL49" i="44"/>
  <c r="AO47" i="44"/>
  <c r="AO46" i="44"/>
  <c r="AM45" i="44"/>
  <c r="AO44" i="44"/>
  <c r="AN44" i="44"/>
  <c r="AM44" i="44"/>
  <c r="AL44" i="44"/>
  <c r="AO42" i="44"/>
  <c r="AO41" i="44"/>
  <c r="AM40" i="44"/>
  <c r="AO39" i="44"/>
  <c r="AN39" i="44"/>
  <c r="AM39" i="44"/>
  <c r="AL39" i="44"/>
  <c r="AO37" i="44"/>
  <c r="AO36" i="44"/>
  <c r="AM35" i="44"/>
  <c r="AO34" i="44"/>
  <c r="AN34" i="44"/>
  <c r="AM34" i="44"/>
  <c r="AL34" i="44"/>
  <c r="AO32" i="44"/>
  <c r="AO31" i="44"/>
  <c r="AM30" i="44"/>
  <c r="AO29" i="44"/>
  <c r="AN29" i="44"/>
  <c r="AM29" i="44"/>
  <c r="AL29" i="44"/>
  <c r="AO27" i="44"/>
  <c r="AO26" i="44"/>
  <c r="AM25" i="44"/>
  <c r="AO24" i="44"/>
  <c r="AN24" i="44"/>
  <c r="AM24" i="44"/>
  <c r="AL24" i="44"/>
  <c r="AO22" i="44"/>
  <c r="AO21" i="44"/>
  <c r="AM20" i="44"/>
  <c r="AO19" i="44"/>
  <c r="AN19" i="44"/>
  <c r="AM19" i="44"/>
  <c r="AL19" i="44"/>
  <c r="AO17" i="44"/>
  <c r="AO16" i="44"/>
  <c r="AM15" i="44"/>
  <c r="AO14" i="44"/>
  <c r="AN14" i="44"/>
  <c r="AM14" i="44"/>
  <c r="AL14" i="44"/>
  <c r="BP4" i="44"/>
  <c r="CO4" i="44"/>
  <c r="CO70" i="44"/>
  <c r="BK67" i="44"/>
  <c r="EH67" i="44"/>
  <c r="BA67" i="44"/>
  <c r="DX67" i="44"/>
  <c r="AQ67" i="44"/>
  <c r="BK66" i="44"/>
  <c r="EH66" i="44"/>
  <c r="BA66" i="44"/>
  <c r="DX66" i="44"/>
  <c r="AQ66" i="44"/>
  <c r="DN66" i="44"/>
  <c r="BN65" i="44"/>
  <c r="EK65" i="44"/>
  <c r="BK65" i="44"/>
  <c r="BA65" i="44"/>
  <c r="DX65" i="44"/>
  <c r="AQ65" i="44"/>
  <c r="AR64" i="44"/>
  <c r="BN62" i="44"/>
  <c r="EK62" i="44"/>
  <c r="BK62" i="44"/>
  <c r="EH62" i="44"/>
  <c r="BA62" i="44"/>
  <c r="DX62" i="44"/>
  <c r="AQ62" i="44"/>
  <c r="DN62" i="44"/>
  <c r="BK61" i="44"/>
  <c r="EH61" i="44"/>
  <c r="BA61" i="44"/>
  <c r="DX61" i="44"/>
  <c r="AQ61" i="44"/>
  <c r="DN61" i="44"/>
  <c r="BN60" i="44"/>
  <c r="EK60" i="44"/>
  <c r="BK60" i="44"/>
  <c r="EH60" i="44"/>
  <c r="BA60" i="44"/>
  <c r="DX60" i="44"/>
  <c r="AQ60" i="44"/>
  <c r="AR59" i="44"/>
  <c r="BN57" i="44"/>
  <c r="EK57" i="44"/>
  <c r="BK57" i="44"/>
  <c r="EH57" i="44"/>
  <c r="BA57" i="44"/>
  <c r="DX57" i="44"/>
  <c r="AQ57" i="44"/>
  <c r="DN57" i="44"/>
  <c r="BN56" i="44"/>
  <c r="EK56" i="44"/>
  <c r="BK56" i="44"/>
  <c r="EH56" i="44"/>
  <c r="BA56" i="44"/>
  <c r="DX56" i="44"/>
  <c r="AQ56" i="44"/>
  <c r="DN56" i="44"/>
  <c r="BN55" i="44"/>
  <c r="EK55" i="44"/>
  <c r="BK55" i="44"/>
  <c r="EH55" i="44"/>
  <c r="BA55" i="44"/>
  <c r="DX55" i="44"/>
  <c r="AQ55" i="44"/>
  <c r="AR54" i="44"/>
  <c r="BN52" i="44"/>
  <c r="EK52" i="44"/>
  <c r="BK52" i="44"/>
  <c r="EH52" i="44"/>
  <c r="BA52" i="44"/>
  <c r="DX52" i="44"/>
  <c r="AQ52" i="44"/>
  <c r="DN52" i="44"/>
  <c r="BN51" i="44"/>
  <c r="EK51" i="44"/>
  <c r="BK51" i="44"/>
  <c r="EH51" i="44"/>
  <c r="BA51" i="44"/>
  <c r="DX51" i="44"/>
  <c r="AQ51" i="44"/>
  <c r="DN51" i="44"/>
  <c r="BN50" i="44"/>
  <c r="EK50" i="44"/>
  <c r="BK50" i="44"/>
  <c r="BA50" i="44"/>
  <c r="DX50" i="44"/>
  <c r="AQ50" i="44"/>
  <c r="AR49" i="44"/>
  <c r="BN47" i="44"/>
  <c r="EK47" i="44"/>
  <c r="BK47" i="44"/>
  <c r="BA47" i="44"/>
  <c r="DX47" i="44"/>
  <c r="AQ47" i="44"/>
  <c r="DN47" i="44"/>
  <c r="BN46" i="44"/>
  <c r="EK46" i="44"/>
  <c r="BK46" i="44"/>
  <c r="BA46" i="44"/>
  <c r="DX46" i="44"/>
  <c r="AQ46" i="44"/>
  <c r="DN46" i="44"/>
  <c r="BN45" i="44"/>
  <c r="EK45" i="44"/>
  <c r="BK45" i="44"/>
  <c r="BA45" i="44"/>
  <c r="DX45" i="44"/>
  <c r="AQ45" i="44"/>
  <c r="DN45" i="44"/>
  <c r="AR44" i="44"/>
  <c r="BN42" i="44"/>
  <c r="EK42" i="44"/>
  <c r="BK42" i="44"/>
  <c r="EH42" i="44"/>
  <c r="BA42" i="44"/>
  <c r="DX42" i="44"/>
  <c r="AQ42" i="44"/>
  <c r="DN42" i="44"/>
  <c r="BN41" i="44"/>
  <c r="EK41" i="44"/>
  <c r="BK41" i="44"/>
  <c r="EH41" i="44"/>
  <c r="BA41" i="44"/>
  <c r="DX41" i="44"/>
  <c r="AQ41" i="44"/>
  <c r="DN41" i="44"/>
  <c r="BN40" i="44"/>
  <c r="EK40" i="44"/>
  <c r="BK40" i="44"/>
  <c r="EH40" i="44"/>
  <c r="BA40" i="44"/>
  <c r="DX40" i="44"/>
  <c r="AQ40" i="44"/>
  <c r="AR39" i="44"/>
  <c r="BN37" i="44"/>
  <c r="EK37" i="44"/>
  <c r="BK37" i="44"/>
  <c r="BA37" i="44"/>
  <c r="DX37" i="44"/>
  <c r="AQ37" i="44"/>
  <c r="DN37" i="44"/>
  <c r="BN36" i="44"/>
  <c r="EK36" i="44"/>
  <c r="BK36" i="44"/>
  <c r="BA36" i="44"/>
  <c r="DX36" i="44"/>
  <c r="AQ36" i="44"/>
  <c r="DN36" i="44"/>
  <c r="BN35" i="44"/>
  <c r="EK35" i="44"/>
  <c r="BK35" i="44"/>
  <c r="BA35" i="44"/>
  <c r="DX35" i="44"/>
  <c r="AQ35" i="44"/>
  <c r="AR34" i="44"/>
  <c r="BN32" i="44"/>
  <c r="EK32" i="44"/>
  <c r="BK32" i="44"/>
  <c r="EH32" i="44"/>
  <c r="BA32" i="44"/>
  <c r="DX32" i="44"/>
  <c r="AQ32" i="44"/>
  <c r="BN31" i="44"/>
  <c r="EK31" i="44"/>
  <c r="BK31" i="44"/>
  <c r="EH31" i="44"/>
  <c r="BA31" i="44"/>
  <c r="DX31" i="44"/>
  <c r="AQ31" i="44"/>
  <c r="BN30" i="44"/>
  <c r="EK30" i="44"/>
  <c r="BK30" i="44"/>
  <c r="EH30" i="44"/>
  <c r="BA30" i="44"/>
  <c r="DX30" i="44"/>
  <c r="AQ30" i="44"/>
  <c r="AR29" i="44"/>
  <c r="BN27" i="44"/>
  <c r="EK27" i="44"/>
  <c r="BK27" i="44"/>
  <c r="EH27" i="44"/>
  <c r="BA27" i="44"/>
  <c r="DX27" i="44"/>
  <c r="AQ27" i="44"/>
  <c r="BN26" i="44"/>
  <c r="EK26" i="44"/>
  <c r="BK26" i="44"/>
  <c r="EH26" i="44"/>
  <c r="BA26" i="44"/>
  <c r="DX26" i="44"/>
  <c r="AQ26" i="44"/>
  <c r="BN25" i="44"/>
  <c r="EK25" i="44"/>
  <c r="BK25" i="44"/>
  <c r="EH25" i="44"/>
  <c r="BA25" i="44"/>
  <c r="DX25" i="44"/>
  <c r="AQ25" i="44"/>
  <c r="AR24" i="44"/>
  <c r="BN22" i="44"/>
  <c r="EK22" i="44"/>
  <c r="BK22" i="44"/>
  <c r="EH22" i="44"/>
  <c r="BA22" i="44"/>
  <c r="DX22" i="44"/>
  <c r="AQ22" i="44"/>
  <c r="BN21" i="44"/>
  <c r="EK21" i="44"/>
  <c r="BK21" i="44"/>
  <c r="EH21" i="44"/>
  <c r="BA21" i="44"/>
  <c r="DX21" i="44"/>
  <c r="AQ21" i="44"/>
  <c r="BN20" i="44"/>
  <c r="EK20" i="44"/>
  <c r="BK20" i="44"/>
  <c r="BA20" i="44"/>
  <c r="DX20" i="44"/>
  <c r="AQ20" i="44"/>
  <c r="AR19" i="44"/>
  <c r="BN17" i="44"/>
  <c r="EK17" i="44"/>
  <c r="BK17" i="44"/>
  <c r="EH17" i="44"/>
  <c r="BA17" i="44"/>
  <c r="DX17" i="44"/>
  <c r="AQ17" i="44"/>
  <c r="BN16" i="44"/>
  <c r="EK16" i="44"/>
  <c r="BK16" i="44"/>
  <c r="BA16" i="44"/>
  <c r="DX16" i="44"/>
  <c r="AQ16" i="44"/>
  <c r="BN15" i="44"/>
  <c r="EK15" i="44"/>
  <c r="BK15" i="44"/>
  <c r="BA15" i="44"/>
  <c r="DX15" i="44"/>
  <c r="AQ15" i="44"/>
  <c r="AR14" i="44"/>
  <c r="AS14" i="44"/>
  <c r="AT14" i="44"/>
  <c r="AU14" i="44"/>
  <c r="AV14" i="44"/>
  <c r="AW14" i="44"/>
  <c r="AX14" i="44"/>
  <c r="AY14" i="44"/>
  <c r="AZ14" i="44"/>
  <c r="BA14" i="44"/>
  <c r="BB14" i="44"/>
  <c r="BC14" i="44"/>
  <c r="BD14" i="44"/>
  <c r="BE14" i="44"/>
  <c r="BF14" i="44"/>
  <c r="BG14" i="44"/>
  <c r="BH14" i="44"/>
  <c r="BI14" i="44"/>
  <c r="BJ14" i="44"/>
  <c r="BK14" i="44"/>
  <c r="BL14" i="44"/>
  <c r="CK14" i="44"/>
  <c r="DJ14" i="44"/>
  <c r="BK12" i="44"/>
  <c r="EH12" i="44"/>
  <c r="BA12" i="44"/>
  <c r="DX12" i="44"/>
  <c r="AQ12" i="44"/>
  <c r="BK11" i="44"/>
  <c r="EH11" i="44"/>
  <c r="BA11" i="44"/>
  <c r="DX11" i="44"/>
  <c r="AQ11" i="44"/>
  <c r="BN10" i="44"/>
  <c r="EK10" i="44"/>
  <c r="BK10" i="44"/>
  <c r="AQ10" i="44"/>
  <c r="AR9" i="44"/>
  <c r="AS9" i="44"/>
  <c r="AT9" i="44"/>
  <c r="AU9" i="44"/>
  <c r="AV9" i="44"/>
  <c r="AW9" i="44"/>
  <c r="AX9" i="44"/>
  <c r="AY9" i="44"/>
  <c r="AZ9" i="44"/>
  <c r="BA9" i="44"/>
  <c r="BB9" i="44"/>
  <c r="BC9" i="44"/>
  <c r="BD9" i="44"/>
  <c r="BE9" i="44"/>
  <c r="BF9" i="44"/>
  <c r="BG9" i="44"/>
  <c r="BH9" i="44"/>
  <c r="BI9" i="44"/>
  <c r="BJ9" i="44"/>
  <c r="BK9" i="44"/>
  <c r="BL9" i="44"/>
  <c r="CK9" i="44"/>
  <c r="DJ9" i="44"/>
  <c r="BK7" i="44"/>
  <c r="EH7" i="44"/>
  <c r="BA7" i="44"/>
  <c r="DX7" i="44"/>
  <c r="AQ7" i="44"/>
  <c r="BK6" i="44"/>
  <c r="EH6" i="44"/>
  <c r="BA6" i="44"/>
  <c r="DX6" i="44"/>
  <c r="AQ6" i="44"/>
  <c r="BN5" i="44"/>
  <c r="EK5" i="44"/>
  <c r="BK5" i="44"/>
  <c r="EH5" i="44"/>
  <c r="AQ5" i="44"/>
  <c r="AR4" i="44"/>
  <c r="AH65" i="44"/>
  <c r="AH62" i="44"/>
  <c r="AH60" i="44"/>
  <c r="AH57" i="44"/>
  <c r="AH55" i="44"/>
  <c r="AH52" i="44"/>
  <c r="AH50" i="44"/>
  <c r="AH47" i="44"/>
  <c r="AH45" i="44"/>
  <c r="BC5" i="26"/>
  <c r="X6" i="26"/>
  <c r="AO12" i="44"/>
  <c r="BN12" i="44"/>
  <c r="EK12" i="44"/>
  <c r="AO11" i="44"/>
  <c r="BN11" i="44"/>
  <c r="EK11" i="44"/>
  <c r="AM10" i="44"/>
  <c r="BA10" i="44"/>
  <c r="DX10" i="44"/>
  <c r="AO9" i="44"/>
  <c r="AN9" i="44"/>
  <c r="AM9" i="44"/>
  <c r="AL9" i="44"/>
  <c r="AM5" i="44"/>
  <c r="BA5" i="44"/>
  <c r="DX5" i="44"/>
  <c r="AO7" i="44"/>
  <c r="BN7" i="44"/>
  <c r="EK7" i="44"/>
  <c r="AO6" i="44"/>
  <c r="BN6" i="44"/>
  <c r="EK6" i="44"/>
  <c r="BP2" i="44"/>
  <c r="BM10" i="44"/>
  <c r="EJ10" i="44"/>
  <c r="EH10" i="44"/>
  <c r="DN11" i="44"/>
  <c r="DN20" i="44"/>
  <c r="DN22" i="44"/>
  <c r="DN5" i="44"/>
  <c r="DN7" i="44"/>
  <c r="DN10" i="44"/>
  <c r="DN12" i="44"/>
  <c r="DN15" i="44"/>
  <c r="BM15" i="44"/>
  <c r="EJ15" i="44"/>
  <c r="EH15" i="44"/>
  <c r="DN16" i="44"/>
  <c r="BM16" i="44"/>
  <c r="EJ16" i="44"/>
  <c r="EH16" i="44"/>
  <c r="DN17" i="44"/>
  <c r="AS19" i="44"/>
  <c r="BQ19" i="44"/>
  <c r="CP19" i="44"/>
  <c r="DN25" i="44"/>
  <c r="DN26" i="44"/>
  <c r="DN27" i="44"/>
  <c r="AS29" i="44"/>
  <c r="BQ29" i="44"/>
  <c r="CP29" i="44"/>
  <c r="DN35" i="44"/>
  <c r="BM35" i="44"/>
  <c r="EJ35" i="44"/>
  <c r="EH35" i="44"/>
  <c r="BM36" i="44"/>
  <c r="EJ36" i="44"/>
  <c r="EH36" i="44"/>
  <c r="BM37" i="44"/>
  <c r="EJ37" i="44"/>
  <c r="EH37" i="44"/>
  <c r="AS39" i="44"/>
  <c r="BQ39" i="44"/>
  <c r="CP39" i="44"/>
  <c r="BM45" i="44"/>
  <c r="EJ45" i="44"/>
  <c r="EH45" i="44"/>
  <c r="BM46" i="44"/>
  <c r="EJ46" i="44"/>
  <c r="EH46" i="44"/>
  <c r="BM47" i="44"/>
  <c r="EJ47" i="44"/>
  <c r="EH47" i="44"/>
  <c r="AS49" i="44"/>
  <c r="BQ49" i="44"/>
  <c r="CP49" i="44"/>
  <c r="DN55" i="44"/>
  <c r="AS59" i="44"/>
  <c r="BQ59" i="44"/>
  <c r="CP59" i="44"/>
  <c r="DN65" i="44"/>
  <c r="BM65" i="44"/>
  <c r="EJ65" i="44"/>
  <c r="EH65" i="44"/>
  <c r="CI9" i="44"/>
  <c r="DH9" i="44"/>
  <c r="CG9" i="44"/>
  <c r="DF9" i="44"/>
  <c r="CE9" i="44"/>
  <c r="DD9" i="44"/>
  <c r="CC9" i="44"/>
  <c r="DB9" i="44"/>
  <c r="CA9" i="44"/>
  <c r="CZ9" i="44"/>
  <c r="BY9" i="44"/>
  <c r="CX9" i="44"/>
  <c r="BW9" i="44"/>
  <c r="CV9" i="44"/>
  <c r="BU9" i="44"/>
  <c r="CT9" i="44"/>
  <c r="BS9" i="44"/>
  <c r="CR9" i="44"/>
  <c r="BQ9" i="44"/>
  <c r="CP9" i="44"/>
  <c r="CM2" i="44"/>
  <c r="AS4" i="44"/>
  <c r="DO4" i="44"/>
  <c r="DN6" i="44"/>
  <c r="BM20" i="44"/>
  <c r="EJ20" i="44"/>
  <c r="EH20" i="44"/>
  <c r="DN21" i="44"/>
  <c r="AS24" i="44"/>
  <c r="BQ24" i="44"/>
  <c r="CP24" i="44"/>
  <c r="DN30" i="44"/>
  <c r="DN31" i="44"/>
  <c r="DN32" i="44"/>
  <c r="AS34" i="44"/>
  <c r="BQ34" i="44"/>
  <c r="CP34" i="44"/>
  <c r="DN40" i="44"/>
  <c r="AS44" i="44"/>
  <c r="BQ44" i="44"/>
  <c r="CP44" i="44"/>
  <c r="DN50" i="44"/>
  <c r="BM50" i="44"/>
  <c r="EJ50" i="44"/>
  <c r="EH50" i="44"/>
  <c r="AS54" i="44"/>
  <c r="BQ54" i="44"/>
  <c r="CP54" i="44"/>
  <c r="DN60" i="44"/>
  <c r="AS64" i="44"/>
  <c r="BQ64" i="44"/>
  <c r="CP64" i="44"/>
  <c r="DN67" i="44"/>
  <c r="CJ9" i="44"/>
  <c r="DI9" i="44"/>
  <c r="CH9" i="44"/>
  <c r="DG9" i="44"/>
  <c r="CF9" i="44"/>
  <c r="DE9" i="44"/>
  <c r="CD9" i="44"/>
  <c r="DC9" i="44"/>
  <c r="CB9" i="44"/>
  <c r="DA9" i="44"/>
  <c r="BZ9" i="44"/>
  <c r="CY9" i="44"/>
  <c r="BX9" i="44"/>
  <c r="CW9" i="44"/>
  <c r="BV9" i="44"/>
  <c r="CU9" i="44"/>
  <c r="BT9" i="44"/>
  <c r="CS9" i="44"/>
  <c r="BR9" i="44"/>
  <c r="CQ9" i="44"/>
  <c r="CL2" i="44"/>
  <c r="N64" i="44"/>
  <c r="N59" i="44"/>
  <c r="N54" i="44"/>
  <c r="N49" i="44"/>
  <c r="N44" i="44"/>
  <c r="N39" i="44"/>
  <c r="N34" i="44"/>
  <c r="N29" i="44"/>
  <c r="N24" i="44"/>
  <c r="N19" i="44"/>
  <c r="N14" i="44"/>
  <c r="N9" i="44"/>
  <c r="BM57" i="44"/>
  <c r="EJ57" i="44"/>
  <c r="BM60" i="44"/>
  <c r="EJ60" i="44"/>
  <c r="CI14" i="44"/>
  <c r="DH14" i="44"/>
  <c r="CG14" i="44"/>
  <c r="DF14" i="44"/>
  <c r="CE14" i="44"/>
  <c r="DD14" i="44"/>
  <c r="CC14" i="44"/>
  <c r="DB14" i="44"/>
  <c r="CA14" i="44"/>
  <c r="CZ14" i="44"/>
  <c r="BY14" i="44"/>
  <c r="CX14" i="44"/>
  <c r="BW14" i="44"/>
  <c r="CV14" i="44"/>
  <c r="BU14" i="44"/>
  <c r="CT14" i="44"/>
  <c r="BS14" i="44"/>
  <c r="CR14" i="44"/>
  <c r="BQ14" i="44"/>
  <c r="CP14" i="44"/>
  <c r="BQ4" i="44"/>
  <c r="CJ14" i="44"/>
  <c r="DI14" i="44"/>
  <c r="CH14" i="44"/>
  <c r="DG14" i="44"/>
  <c r="CF14" i="44"/>
  <c r="DE14" i="44"/>
  <c r="CD14" i="44"/>
  <c r="DC14" i="44"/>
  <c r="CB14" i="44"/>
  <c r="DA14" i="44"/>
  <c r="BZ14" i="44"/>
  <c r="CY14" i="44"/>
  <c r="BX14" i="44"/>
  <c r="CW14" i="44"/>
  <c r="BV14" i="44"/>
  <c r="CU14" i="44"/>
  <c r="BT14" i="44"/>
  <c r="CS14" i="44"/>
  <c r="BR14" i="44"/>
  <c r="CQ14" i="44"/>
  <c r="BM22" i="44"/>
  <c r="EJ22" i="44"/>
  <c r="BM51" i="44"/>
  <c r="EJ51" i="44"/>
  <c r="BM52" i="44"/>
  <c r="EJ52" i="44"/>
  <c r="BM62" i="44"/>
  <c r="EJ62" i="44"/>
  <c r="BM11" i="44"/>
  <c r="EJ11" i="44"/>
  <c r="BM12" i="44"/>
  <c r="EJ12" i="44"/>
  <c r="BM21" i="44"/>
  <c r="EJ21" i="44"/>
  <c r="BM66" i="44"/>
  <c r="EJ66" i="44"/>
  <c r="BM55" i="44"/>
  <c r="EJ55" i="44"/>
  <c r="BM56" i="44"/>
  <c r="EJ56" i="44"/>
  <c r="BM40" i="44"/>
  <c r="EJ40" i="44"/>
  <c r="BM41" i="44"/>
  <c r="EJ41" i="44"/>
  <c r="BM42" i="44"/>
  <c r="EJ42" i="44"/>
  <c r="BM30" i="44"/>
  <c r="EJ30" i="44"/>
  <c r="BM31" i="44"/>
  <c r="EJ31" i="44"/>
  <c r="BM32" i="44"/>
  <c r="EJ32" i="44"/>
  <c r="BM25" i="44"/>
  <c r="EJ25" i="44"/>
  <c r="BM26" i="44"/>
  <c r="EJ26" i="44"/>
  <c r="BM27" i="44"/>
  <c r="EJ27" i="44"/>
  <c r="BM17" i="44"/>
  <c r="EJ17" i="44"/>
  <c r="BM5" i="44"/>
  <c r="EJ5" i="44"/>
  <c r="BM6" i="44"/>
  <c r="EJ6" i="44"/>
  <c r="BM7" i="44"/>
  <c r="EJ7" i="44"/>
  <c r="AT4" i="44"/>
  <c r="BM61" i="44"/>
  <c r="EJ61" i="44"/>
  <c r="BM67" i="44"/>
  <c r="EJ67" i="44"/>
  <c r="AU4" i="44"/>
  <c r="DQ4" i="44"/>
  <c r="BS4" i="44"/>
  <c r="CP4" i="44"/>
  <c r="CP70" i="44"/>
  <c r="BQ2" i="44"/>
  <c r="AT39" i="44"/>
  <c r="BR39" i="44"/>
  <c r="CQ39" i="44"/>
  <c r="AT29" i="44"/>
  <c r="BR29" i="44"/>
  <c r="CQ29" i="44"/>
  <c r="AT19" i="44"/>
  <c r="BR19" i="44"/>
  <c r="CQ19" i="44"/>
  <c r="AT64" i="44"/>
  <c r="BR64" i="44"/>
  <c r="CQ64" i="44"/>
  <c r="AT54" i="44"/>
  <c r="BR54" i="44"/>
  <c r="CQ54" i="44"/>
  <c r="AT44" i="44"/>
  <c r="BR44" i="44"/>
  <c r="CQ44" i="44"/>
  <c r="AT34" i="44"/>
  <c r="BR34" i="44"/>
  <c r="CQ34" i="44"/>
  <c r="AT24" i="44"/>
  <c r="BR24" i="44"/>
  <c r="CQ24" i="44"/>
  <c r="DP4" i="44"/>
  <c r="BR4" i="44"/>
  <c r="AT59" i="44"/>
  <c r="BR59" i="44"/>
  <c r="CQ59" i="44"/>
  <c r="AT49" i="44"/>
  <c r="BR49" i="44"/>
  <c r="CQ49" i="44"/>
  <c r="O64" i="44"/>
  <c r="O59" i="44"/>
  <c r="O54" i="44"/>
  <c r="O49" i="44"/>
  <c r="O44" i="44"/>
  <c r="O39" i="44"/>
  <c r="O34" i="44"/>
  <c r="O29" i="44"/>
  <c r="O24" i="44"/>
  <c r="O19" i="44"/>
  <c r="O14" i="44"/>
  <c r="O9" i="44"/>
  <c r="AU49" i="44"/>
  <c r="BS49" i="44"/>
  <c r="CR49" i="44"/>
  <c r="AU44" i="44"/>
  <c r="BS44" i="44"/>
  <c r="CR44" i="44"/>
  <c r="AU64" i="44"/>
  <c r="BS64" i="44"/>
  <c r="CR64" i="44"/>
  <c r="AU29" i="44"/>
  <c r="BS29" i="44"/>
  <c r="CR29" i="44"/>
  <c r="CR4" i="44"/>
  <c r="CR70" i="44"/>
  <c r="BS2" i="44"/>
  <c r="AV4" i="44"/>
  <c r="DR4" i="44"/>
  <c r="BT4" i="44"/>
  <c r="AU59" i="44"/>
  <c r="BS59" i="44"/>
  <c r="CR59" i="44"/>
  <c r="CQ4" i="44"/>
  <c r="CQ70" i="44"/>
  <c r="BR2" i="44"/>
  <c r="AU34" i="44"/>
  <c r="BS34" i="44"/>
  <c r="CR34" i="44"/>
  <c r="AU54" i="44"/>
  <c r="BS54" i="44"/>
  <c r="CR54" i="44"/>
  <c r="AU19" i="44"/>
  <c r="BS19" i="44"/>
  <c r="CR19" i="44"/>
  <c r="AU39" i="44"/>
  <c r="BS39" i="44"/>
  <c r="CR39" i="44"/>
  <c r="AU24" i="44"/>
  <c r="BS24" i="44"/>
  <c r="CR24" i="44"/>
  <c r="P64" i="44"/>
  <c r="P59" i="44"/>
  <c r="P54" i="44"/>
  <c r="P49" i="44"/>
  <c r="P44" i="44"/>
  <c r="P39" i="44"/>
  <c r="P34" i="44"/>
  <c r="P29" i="44"/>
  <c r="P24" i="44"/>
  <c r="P19" i="44"/>
  <c r="P14" i="44"/>
  <c r="P9" i="44"/>
  <c r="AV24" i="44"/>
  <c r="BT24" i="44"/>
  <c r="CS24" i="44"/>
  <c r="AV39" i="44"/>
  <c r="BT39" i="44"/>
  <c r="CS39" i="44"/>
  <c r="AV19" i="44"/>
  <c r="BT19" i="44"/>
  <c r="CS19" i="44"/>
  <c r="AV54" i="44"/>
  <c r="BT54" i="44"/>
  <c r="CS54" i="44"/>
  <c r="AV34" i="44"/>
  <c r="BT34" i="44"/>
  <c r="CS34" i="44"/>
  <c r="AV59" i="44"/>
  <c r="BT59" i="44"/>
  <c r="CS59" i="44"/>
  <c r="CS4" i="44"/>
  <c r="CS70" i="44"/>
  <c r="BT2" i="44"/>
  <c r="AW4" i="44"/>
  <c r="DS4" i="44"/>
  <c r="BU4" i="44"/>
  <c r="AV29" i="44"/>
  <c r="BT29" i="44"/>
  <c r="CS29" i="44"/>
  <c r="AV64" i="44"/>
  <c r="BT64" i="44"/>
  <c r="CS64" i="44"/>
  <c r="AV44" i="44"/>
  <c r="BT44" i="44"/>
  <c r="CS44" i="44"/>
  <c r="AV49" i="44"/>
  <c r="BT49" i="44"/>
  <c r="CS49" i="44"/>
  <c r="Q64" i="44"/>
  <c r="Q59" i="44"/>
  <c r="Q54" i="44"/>
  <c r="Q49" i="44"/>
  <c r="Q44" i="44"/>
  <c r="Q39" i="44"/>
  <c r="Q34" i="44"/>
  <c r="Q29" i="44"/>
  <c r="Q24" i="44"/>
  <c r="Q19" i="44"/>
  <c r="Q14" i="44"/>
  <c r="Q9" i="44"/>
  <c r="CT4" i="44"/>
  <c r="CT70" i="44"/>
  <c r="BU2" i="44"/>
  <c r="AX4" i="44"/>
  <c r="DT4" i="44"/>
  <c r="BV4" i="44"/>
  <c r="AW59" i="44"/>
  <c r="BU59" i="44"/>
  <c r="CT59" i="44"/>
  <c r="AW34" i="44"/>
  <c r="BU34" i="44"/>
  <c r="CT34" i="44"/>
  <c r="AW54" i="44"/>
  <c r="BU54" i="44"/>
  <c r="CT54" i="44"/>
  <c r="AW19" i="44"/>
  <c r="BU19" i="44"/>
  <c r="CT19" i="44"/>
  <c r="AW39" i="44"/>
  <c r="BU39" i="44"/>
  <c r="CT39" i="44"/>
  <c r="AW24" i="44"/>
  <c r="BU24" i="44"/>
  <c r="CT24" i="44"/>
  <c r="AW49" i="44"/>
  <c r="BU49" i="44"/>
  <c r="CT49" i="44"/>
  <c r="AW44" i="44"/>
  <c r="BU44" i="44"/>
  <c r="CT44" i="44"/>
  <c r="AW64" i="44"/>
  <c r="BU64" i="44"/>
  <c r="CT64" i="44"/>
  <c r="AW29" i="44"/>
  <c r="BU29" i="44"/>
  <c r="CT29" i="44"/>
  <c r="R64" i="44"/>
  <c r="R59" i="44"/>
  <c r="R54" i="44"/>
  <c r="R49" i="44"/>
  <c r="R44" i="44"/>
  <c r="R39" i="44"/>
  <c r="R34" i="44"/>
  <c r="R29" i="44"/>
  <c r="R24" i="44"/>
  <c r="R19" i="44"/>
  <c r="R14" i="44"/>
  <c r="R9" i="44"/>
  <c r="CU4" i="44"/>
  <c r="CU70" i="44"/>
  <c r="BV2" i="44"/>
  <c r="AY4" i="44"/>
  <c r="DU4" i="44"/>
  <c r="BW4" i="44"/>
  <c r="AX29" i="44"/>
  <c r="BV29" i="44"/>
  <c r="CU29" i="44"/>
  <c r="AX64" i="44"/>
  <c r="BV64" i="44"/>
  <c r="CU64" i="44"/>
  <c r="AX44" i="44"/>
  <c r="BV44" i="44"/>
  <c r="CU44" i="44"/>
  <c r="AX49" i="44"/>
  <c r="BV49" i="44"/>
  <c r="CU49" i="44"/>
  <c r="AX24" i="44"/>
  <c r="BV24" i="44"/>
  <c r="CU24" i="44"/>
  <c r="AX39" i="44"/>
  <c r="BV39" i="44"/>
  <c r="CU39" i="44"/>
  <c r="AX19" i="44"/>
  <c r="BV19" i="44"/>
  <c r="CU19" i="44"/>
  <c r="AX54" i="44"/>
  <c r="BV54" i="44"/>
  <c r="CU54" i="44"/>
  <c r="AX34" i="44"/>
  <c r="BV34" i="44"/>
  <c r="CU34" i="44"/>
  <c r="AX59" i="44"/>
  <c r="BV59" i="44"/>
  <c r="CU59" i="44"/>
  <c r="S64" i="44"/>
  <c r="S59" i="44"/>
  <c r="S54" i="44"/>
  <c r="S49" i="44"/>
  <c r="S44" i="44"/>
  <c r="S39" i="44"/>
  <c r="S34" i="44"/>
  <c r="S29" i="44"/>
  <c r="S24" i="44"/>
  <c r="S19" i="44"/>
  <c r="S14" i="44"/>
  <c r="S9" i="44"/>
  <c r="CV4" i="44"/>
  <c r="CV70" i="44"/>
  <c r="BW2" i="44"/>
  <c r="AZ4" i="44"/>
  <c r="DV4" i="44"/>
  <c r="BX4" i="44"/>
  <c r="AY59" i="44"/>
  <c r="BW59" i="44"/>
  <c r="CV59" i="44"/>
  <c r="AY34" i="44"/>
  <c r="BW34" i="44"/>
  <c r="CV34" i="44"/>
  <c r="AY54" i="44"/>
  <c r="BW54" i="44"/>
  <c r="CV54" i="44"/>
  <c r="AY19" i="44"/>
  <c r="BW19" i="44"/>
  <c r="CV19" i="44"/>
  <c r="AY39" i="44"/>
  <c r="BW39" i="44"/>
  <c r="CV39" i="44"/>
  <c r="AY24" i="44"/>
  <c r="BW24" i="44"/>
  <c r="CV24" i="44"/>
  <c r="AY49" i="44"/>
  <c r="BW49" i="44"/>
  <c r="CV49" i="44"/>
  <c r="AY44" i="44"/>
  <c r="BW44" i="44"/>
  <c r="CV44" i="44"/>
  <c r="AY64" i="44"/>
  <c r="BW64" i="44"/>
  <c r="CV64" i="44"/>
  <c r="AY29" i="44"/>
  <c r="BW29" i="44"/>
  <c r="CV29" i="44"/>
  <c r="T64" i="44"/>
  <c r="T59" i="44"/>
  <c r="T54" i="44"/>
  <c r="T49" i="44"/>
  <c r="T44" i="44"/>
  <c r="T39" i="44"/>
  <c r="T34" i="44"/>
  <c r="T29" i="44"/>
  <c r="T24" i="44"/>
  <c r="T19" i="44"/>
  <c r="T14" i="44"/>
  <c r="T9" i="44"/>
  <c r="CW4" i="44"/>
  <c r="CW70" i="44"/>
  <c r="BX2" i="44"/>
  <c r="BA4" i="44"/>
  <c r="DW4" i="44"/>
  <c r="BY4" i="44"/>
  <c r="AZ29" i="44"/>
  <c r="BX29" i="44"/>
  <c r="CW29" i="44"/>
  <c r="AZ64" i="44"/>
  <c r="BX64" i="44"/>
  <c r="CW64" i="44"/>
  <c r="AZ44" i="44"/>
  <c r="BX44" i="44"/>
  <c r="CW44" i="44"/>
  <c r="AZ49" i="44"/>
  <c r="BX49" i="44"/>
  <c r="CW49" i="44"/>
  <c r="AZ24" i="44"/>
  <c r="BX24" i="44"/>
  <c r="CW24" i="44"/>
  <c r="AZ39" i="44"/>
  <c r="BX39" i="44"/>
  <c r="CW39" i="44"/>
  <c r="AZ19" i="44"/>
  <c r="BX19" i="44"/>
  <c r="CW19" i="44"/>
  <c r="AZ54" i="44"/>
  <c r="BX54" i="44"/>
  <c r="CW54" i="44"/>
  <c r="AZ34" i="44"/>
  <c r="BX34" i="44"/>
  <c r="CW34" i="44"/>
  <c r="AZ59" i="44"/>
  <c r="BX59" i="44"/>
  <c r="CW59" i="44"/>
  <c r="U64" i="44"/>
  <c r="U59" i="44"/>
  <c r="U54" i="44"/>
  <c r="U49" i="44"/>
  <c r="U44" i="44"/>
  <c r="U39" i="44"/>
  <c r="U34" i="44"/>
  <c r="U29" i="44"/>
  <c r="U24" i="44"/>
  <c r="U19" i="44"/>
  <c r="U14" i="44"/>
  <c r="U9" i="44"/>
  <c r="BA59" i="44"/>
  <c r="BY59" i="44"/>
  <c r="CX59" i="44"/>
  <c r="BA34" i="44"/>
  <c r="BY34" i="44"/>
  <c r="CX34" i="44"/>
  <c r="BA54" i="44"/>
  <c r="BY54" i="44"/>
  <c r="CX54" i="44"/>
  <c r="BA19" i="44"/>
  <c r="BY19" i="44"/>
  <c r="CX19" i="44"/>
  <c r="BA39" i="44"/>
  <c r="BY39" i="44"/>
  <c r="CX39" i="44"/>
  <c r="BA24" i="44"/>
  <c r="BY24" i="44"/>
  <c r="CX24" i="44"/>
  <c r="BA49" i="44"/>
  <c r="BY49" i="44"/>
  <c r="CX49" i="44"/>
  <c r="BA44" i="44"/>
  <c r="BY44" i="44"/>
  <c r="CX44" i="44"/>
  <c r="BA64" i="44"/>
  <c r="BY64" i="44"/>
  <c r="CX64" i="44"/>
  <c r="BA29" i="44"/>
  <c r="BY29" i="44"/>
  <c r="CX29" i="44"/>
  <c r="CX4" i="44"/>
  <c r="CX70" i="44"/>
  <c r="BY2" i="44"/>
  <c r="DX4" i="44"/>
  <c r="BZ4" i="44"/>
  <c r="AR26" i="44"/>
  <c r="AR37" i="44"/>
  <c r="AR65" i="44"/>
  <c r="AS65" i="44"/>
  <c r="AR6" i="44"/>
  <c r="AR27" i="44"/>
  <c r="AR36" i="44"/>
  <c r="AR45" i="44"/>
  <c r="AR47" i="44"/>
  <c r="AS45" i="44"/>
  <c r="AS47" i="44"/>
  <c r="AR67" i="44"/>
  <c r="AS67" i="44"/>
  <c r="AR35" i="44"/>
  <c r="AR46" i="44"/>
  <c r="AS46" i="44"/>
  <c r="AR66" i="44"/>
  <c r="AR25" i="44"/>
  <c r="AR5" i="44"/>
  <c r="AR57" i="44"/>
  <c r="AR50" i="44"/>
  <c r="AR42" i="44"/>
  <c r="AR31" i="44"/>
  <c r="AR41" i="44"/>
  <c r="BB4" i="44"/>
  <c r="AR12" i="44"/>
  <c r="AR7" i="44"/>
  <c r="AR15" i="44"/>
  <c r="AS5" i="44"/>
  <c r="AR61" i="44"/>
  <c r="AS61" i="44"/>
  <c r="AR55" i="44"/>
  <c r="AR51" i="44"/>
  <c r="AS51" i="44"/>
  <c r="AR60" i="44"/>
  <c r="AR40" i="44"/>
  <c r="AR32" i="44"/>
  <c r="AR30" i="44"/>
  <c r="AR21" i="44"/>
  <c r="AR11" i="44"/>
  <c r="AR20" i="44"/>
  <c r="AR10" i="44"/>
  <c r="AR16" i="44"/>
  <c r="AR17" i="44"/>
  <c r="AS6" i="44"/>
  <c r="AR62" i="44"/>
  <c r="AS62" i="44"/>
  <c r="AR52" i="44"/>
  <c r="AR56" i="44"/>
  <c r="AS37" i="44"/>
  <c r="AR22" i="44"/>
  <c r="AS16" i="44"/>
  <c r="AS56" i="44"/>
  <c r="AS41" i="44"/>
  <c r="AS57" i="44"/>
  <c r="AS52" i="44"/>
  <c r="AS42" i="44"/>
  <c r="P131" i="26"/>
  <c r="P149" i="26"/>
  <c r="P167" i="26"/>
  <c r="C19" i="44"/>
  <c r="A19" i="44"/>
  <c r="C24" i="44"/>
  <c r="C25" i="44"/>
  <c r="C29" i="44"/>
  <c r="A29" i="44"/>
  <c r="C34" i="44"/>
  <c r="A34" i="44"/>
  <c r="C39" i="44"/>
  <c r="A39" i="44"/>
  <c r="C44" i="44"/>
  <c r="A44" i="44"/>
  <c r="C49" i="44"/>
  <c r="A49" i="44"/>
  <c r="C59" i="44"/>
  <c r="A59" i="44"/>
  <c r="C64" i="44"/>
  <c r="A64" i="44"/>
  <c r="C9" i="44"/>
  <c r="A9" i="44"/>
  <c r="C4" i="44"/>
  <c r="BC2" i="26"/>
  <c r="BC27" i="26"/>
  <c r="BS27" i="26"/>
  <c r="BC28" i="26"/>
  <c r="BS28" i="26"/>
  <c r="BQ4" i="26"/>
  <c r="CG4" i="26"/>
  <c r="BE3" i="26"/>
  <c r="BU3" i="26"/>
  <c r="BF3" i="26"/>
  <c r="BV3" i="26"/>
  <c r="BG3" i="26"/>
  <c r="BW3" i="26"/>
  <c r="BH3" i="26"/>
  <c r="BX3" i="26"/>
  <c r="BI3" i="26"/>
  <c r="BY3" i="26"/>
  <c r="BJ3" i="26"/>
  <c r="BZ3" i="26"/>
  <c r="BK3" i="26"/>
  <c r="CA3" i="26"/>
  <c r="BL3" i="26"/>
  <c r="CB3" i="26"/>
  <c r="BM3" i="26"/>
  <c r="CC3" i="26"/>
  <c r="BN3" i="26"/>
  <c r="CD3" i="26"/>
  <c r="BO3" i="26"/>
  <c r="CE3" i="26"/>
  <c r="BP3" i="26"/>
  <c r="CF3" i="26"/>
  <c r="BD2" i="26"/>
  <c r="BC4" i="26"/>
  <c r="BS4" i="26"/>
  <c r="BD3" i="26"/>
  <c r="AM4" i="44"/>
  <c r="AN4" i="44"/>
  <c r="AO4" i="44"/>
  <c r="AL4" i="44"/>
  <c r="AE67" i="44"/>
  <c r="AE65" i="44"/>
  <c r="AG65" i="44"/>
  <c r="V64" i="44"/>
  <c r="W64" i="44"/>
  <c r="X64" i="44"/>
  <c r="Y64" i="44"/>
  <c r="Z64" i="44"/>
  <c r="AA64" i="44"/>
  <c r="AB64" i="44"/>
  <c r="AC64" i="44"/>
  <c r="AD64" i="44"/>
  <c r="AE64" i="44"/>
  <c r="AF64" i="44"/>
  <c r="AE62" i="44"/>
  <c r="AG62" i="44"/>
  <c r="AE60" i="44"/>
  <c r="AG60" i="44"/>
  <c r="V59" i="44"/>
  <c r="W59" i="44"/>
  <c r="X59" i="44"/>
  <c r="Y59" i="44"/>
  <c r="Z59" i="44"/>
  <c r="AA59" i="44"/>
  <c r="AB59" i="44"/>
  <c r="AC59" i="44"/>
  <c r="AD59" i="44"/>
  <c r="AE59" i="44"/>
  <c r="AF59" i="44"/>
  <c r="AE57" i="44"/>
  <c r="AG57" i="44"/>
  <c r="AE55" i="44"/>
  <c r="AG55" i="44"/>
  <c r="V54" i="44"/>
  <c r="W54" i="44"/>
  <c r="X54" i="44"/>
  <c r="Y54" i="44"/>
  <c r="Z54" i="44"/>
  <c r="AA54" i="44"/>
  <c r="AB54" i="44"/>
  <c r="AC54" i="44"/>
  <c r="AD54" i="44"/>
  <c r="AE54" i="44"/>
  <c r="AF54" i="44"/>
  <c r="AE52" i="44"/>
  <c r="AG52" i="44"/>
  <c r="AE50" i="44"/>
  <c r="AG50" i="44"/>
  <c r="V49" i="44"/>
  <c r="W49" i="44"/>
  <c r="X49" i="44"/>
  <c r="Y49" i="44"/>
  <c r="Z49" i="44"/>
  <c r="AA49" i="44"/>
  <c r="AB49" i="44"/>
  <c r="AC49" i="44"/>
  <c r="AD49" i="44"/>
  <c r="AE49" i="44"/>
  <c r="AF49" i="44"/>
  <c r="AE47" i="44"/>
  <c r="AG47" i="44"/>
  <c r="AE45" i="44"/>
  <c r="AG45" i="44"/>
  <c r="V44" i="44"/>
  <c r="W44" i="44"/>
  <c r="X44" i="44"/>
  <c r="Y44" i="44"/>
  <c r="Z44" i="44"/>
  <c r="AA44" i="44"/>
  <c r="AB44" i="44"/>
  <c r="AC44" i="44"/>
  <c r="AD44" i="44"/>
  <c r="AE44" i="44"/>
  <c r="AF44" i="44"/>
  <c r="AH42" i="44"/>
  <c r="AE42" i="44"/>
  <c r="AH40" i="44"/>
  <c r="AE40" i="44"/>
  <c r="V39" i="44"/>
  <c r="W39" i="44"/>
  <c r="X39" i="44"/>
  <c r="Y39" i="44"/>
  <c r="Z39" i="44"/>
  <c r="AA39" i="44"/>
  <c r="AB39" i="44"/>
  <c r="AC39" i="44"/>
  <c r="AD39" i="44"/>
  <c r="AE39" i="44"/>
  <c r="AF39" i="44"/>
  <c r="AE37" i="44"/>
  <c r="AH35" i="44"/>
  <c r="AE35" i="44"/>
  <c r="V34" i="44"/>
  <c r="W34" i="44"/>
  <c r="X34" i="44"/>
  <c r="Y34" i="44"/>
  <c r="Z34" i="44"/>
  <c r="AA34" i="44"/>
  <c r="AB34" i="44"/>
  <c r="AC34" i="44"/>
  <c r="AD34" i="44"/>
  <c r="AE34" i="44"/>
  <c r="AF34" i="44"/>
  <c r="AH32" i="44"/>
  <c r="AE32" i="44"/>
  <c r="AG32" i="44"/>
  <c r="V29" i="44"/>
  <c r="W29" i="44"/>
  <c r="X29" i="44"/>
  <c r="Y29" i="44"/>
  <c r="Z29" i="44"/>
  <c r="AA29" i="44"/>
  <c r="AB29" i="44"/>
  <c r="AC29" i="44"/>
  <c r="AD29" i="44"/>
  <c r="AE29" i="44"/>
  <c r="AF29" i="44"/>
  <c r="AH27" i="44"/>
  <c r="AE27" i="44"/>
  <c r="V24" i="44"/>
  <c r="W24" i="44"/>
  <c r="X24" i="44"/>
  <c r="Y24" i="44"/>
  <c r="Z24" i="44"/>
  <c r="AA24" i="44"/>
  <c r="AB24" i="44"/>
  <c r="AC24" i="44"/>
  <c r="AD24" i="44"/>
  <c r="AE24" i="44"/>
  <c r="AF24" i="44"/>
  <c r="AH22" i="44"/>
  <c r="AE22" i="44"/>
  <c r="AG22" i="44"/>
  <c r="V19" i="44"/>
  <c r="W19" i="44"/>
  <c r="X19" i="44"/>
  <c r="Y19" i="44"/>
  <c r="Z19" i="44"/>
  <c r="AA19" i="44"/>
  <c r="AB19" i="44"/>
  <c r="AC19" i="44"/>
  <c r="AD19" i="44"/>
  <c r="AE19" i="44"/>
  <c r="AF19" i="44"/>
  <c r="AH17" i="44"/>
  <c r="AE17" i="44"/>
  <c r="AH15" i="44"/>
  <c r="AE15" i="44"/>
  <c r="V14" i="44"/>
  <c r="W14" i="44"/>
  <c r="X14" i="44"/>
  <c r="Y14" i="44"/>
  <c r="Z14" i="44"/>
  <c r="AA14" i="44"/>
  <c r="AB14" i="44"/>
  <c r="AC14" i="44"/>
  <c r="AD14" i="44"/>
  <c r="AE14" i="44"/>
  <c r="AF14" i="44"/>
  <c r="AH12" i="44"/>
  <c r="AE12" i="44"/>
  <c r="AG12" i="44"/>
  <c r="AH10" i="44"/>
  <c r="AE10" i="44"/>
  <c r="AG10" i="44"/>
  <c r="V9" i="44"/>
  <c r="W9" i="44"/>
  <c r="X9" i="44"/>
  <c r="Y9" i="44"/>
  <c r="Z9" i="44"/>
  <c r="AA9" i="44"/>
  <c r="AB9" i="44"/>
  <c r="AC9" i="44"/>
  <c r="AD9" i="44"/>
  <c r="AE9" i="44"/>
  <c r="AF9" i="44"/>
  <c r="AH7" i="44"/>
  <c r="AE7" i="44"/>
  <c r="AE5" i="44"/>
  <c r="K7" i="44"/>
  <c r="U7" i="44"/>
  <c r="U5" i="44"/>
  <c r="K5" i="44"/>
  <c r="I67" i="44"/>
  <c r="AH67" i="44"/>
  <c r="AG67" i="44"/>
  <c r="I41" i="44"/>
  <c r="AH41" i="44"/>
  <c r="I46" i="44"/>
  <c r="AH46" i="44"/>
  <c r="I51" i="44"/>
  <c r="AH51" i="44"/>
  <c r="I56" i="44"/>
  <c r="AH56" i="44"/>
  <c r="I61" i="44"/>
  <c r="AH61" i="44"/>
  <c r="I66" i="44"/>
  <c r="AH66" i="44"/>
  <c r="I37" i="44"/>
  <c r="AH37" i="44"/>
  <c r="I5" i="44"/>
  <c r="I6" i="44"/>
  <c r="AH6" i="44"/>
  <c r="I11" i="44"/>
  <c r="AH11" i="44"/>
  <c r="I16" i="44"/>
  <c r="AH16" i="44"/>
  <c r="I20" i="44"/>
  <c r="AH20" i="44"/>
  <c r="I25" i="44"/>
  <c r="AH25" i="44"/>
  <c r="I30" i="44"/>
  <c r="AH30" i="44"/>
  <c r="L4" i="44"/>
  <c r="M4" i="44"/>
  <c r="N4" i="44"/>
  <c r="O4" i="44"/>
  <c r="P4" i="44"/>
  <c r="H66" i="44"/>
  <c r="AE66" i="44"/>
  <c r="G66" i="44"/>
  <c r="U66" i="44"/>
  <c r="E66" i="44"/>
  <c r="K66" i="44"/>
  <c r="H61" i="44"/>
  <c r="AE61" i="44"/>
  <c r="G61" i="44"/>
  <c r="U61" i="44"/>
  <c r="E61" i="44"/>
  <c r="K61" i="44"/>
  <c r="L61" i="44"/>
  <c r="M61" i="44"/>
  <c r="N61" i="44"/>
  <c r="O61" i="44"/>
  <c r="H56" i="44"/>
  <c r="AE56" i="44"/>
  <c r="G56" i="44"/>
  <c r="U56" i="44"/>
  <c r="E56" i="44"/>
  <c r="K56" i="44"/>
  <c r="H51" i="44"/>
  <c r="AE51" i="44"/>
  <c r="G51" i="44"/>
  <c r="U51" i="44"/>
  <c r="E51" i="44"/>
  <c r="K51" i="44"/>
  <c r="H46" i="44"/>
  <c r="AE46" i="44"/>
  <c r="G46" i="44"/>
  <c r="U46" i="44"/>
  <c r="E46" i="44"/>
  <c r="K46" i="44"/>
  <c r="H41" i="44"/>
  <c r="AE41" i="44"/>
  <c r="G41" i="44"/>
  <c r="U41" i="44"/>
  <c r="E41" i="44"/>
  <c r="K41" i="44"/>
  <c r="H36" i="44"/>
  <c r="AE36" i="44"/>
  <c r="G36" i="44"/>
  <c r="U36" i="44"/>
  <c r="E36" i="44"/>
  <c r="K36" i="44"/>
  <c r="L36" i="44"/>
  <c r="M36" i="44"/>
  <c r="N36" i="44"/>
  <c r="O36" i="44"/>
  <c r="E31" i="44"/>
  <c r="K31" i="44"/>
  <c r="H30" i="44"/>
  <c r="H31" i="44"/>
  <c r="AE31" i="44"/>
  <c r="G30" i="44"/>
  <c r="E26" i="44"/>
  <c r="K26" i="44"/>
  <c r="H25" i="44"/>
  <c r="H26" i="44"/>
  <c r="AE26" i="44"/>
  <c r="G25" i="44"/>
  <c r="E21" i="44"/>
  <c r="K21" i="44"/>
  <c r="H20" i="44"/>
  <c r="H21" i="44"/>
  <c r="AE21" i="44"/>
  <c r="G20" i="44"/>
  <c r="H16" i="44"/>
  <c r="AE16" i="44"/>
  <c r="AG16" i="44"/>
  <c r="E16" i="44"/>
  <c r="K16" i="44"/>
  <c r="G15" i="44"/>
  <c r="H11" i="44"/>
  <c r="AE11" i="44"/>
  <c r="G11" i="44"/>
  <c r="U11" i="44"/>
  <c r="E11" i="44"/>
  <c r="K11" i="44"/>
  <c r="H6" i="44"/>
  <c r="AE6" i="44"/>
  <c r="AG6" i="44"/>
  <c r="G6" i="44"/>
  <c r="U6" i="44"/>
  <c r="E6" i="44"/>
  <c r="K6" i="44"/>
  <c r="L6" i="44"/>
  <c r="M6" i="44"/>
  <c r="N6" i="44"/>
  <c r="O6" i="44"/>
  <c r="C122" i="43"/>
  <c r="C121" i="43"/>
  <c r="C120" i="43"/>
  <c r="C119" i="43"/>
  <c r="I116" i="43"/>
  <c r="I122" i="43"/>
  <c r="H116" i="43"/>
  <c r="H122" i="43"/>
  <c r="G116" i="43"/>
  <c r="G122" i="43"/>
  <c r="F116" i="43"/>
  <c r="F122" i="43"/>
  <c r="E116" i="43"/>
  <c r="E122" i="43"/>
  <c r="D116" i="43"/>
  <c r="D122" i="43"/>
  <c r="J115" i="43"/>
  <c r="J114" i="43"/>
  <c r="J113" i="43"/>
  <c r="C105" i="43"/>
  <c r="C104" i="43"/>
  <c r="C103" i="43"/>
  <c r="C102" i="43"/>
  <c r="I99" i="43"/>
  <c r="I105" i="43"/>
  <c r="X9" i="43"/>
  <c r="H99" i="43"/>
  <c r="H104" i="43"/>
  <c r="G99" i="43"/>
  <c r="G105" i="43"/>
  <c r="F99" i="43"/>
  <c r="F104" i="43"/>
  <c r="E99" i="43"/>
  <c r="E105" i="43"/>
  <c r="D99" i="43"/>
  <c r="D104" i="43"/>
  <c r="C86" i="43"/>
  <c r="C85" i="43"/>
  <c r="C84" i="43"/>
  <c r="C83" i="43"/>
  <c r="I80" i="43"/>
  <c r="I86" i="43"/>
  <c r="Z9" i="43"/>
  <c r="H80" i="43"/>
  <c r="H85" i="43"/>
  <c r="G80" i="43"/>
  <c r="G86" i="43"/>
  <c r="F80" i="43"/>
  <c r="F85" i="43"/>
  <c r="E80" i="43"/>
  <c r="E86" i="43"/>
  <c r="D80" i="43"/>
  <c r="D85" i="43"/>
  <c r="C67" i="43"/>
  <c r="C66" i="43"/>
  <c r="C65" i="43"/>
  <c r="C64" i="43"/>
  <c r="H61" i="43"/>
  <c r="H67" i="43"/>
  <c r="W9" i="43"/>
  <c r="G61" i="43"/>
  <c r="G67" i="43"/>
  <c r="F61" i="43"/>
  <c r="F67" i="43"/>
  <c r="E61" i="43"/>
  <c r="E67" i="43"/>
  <c r="D61" i="43"/>
  <c r="D67" i="43"/>
  <c r="C50" i="43"/>
  <c r="C49" i="43"/>
  <c r="C48" i="43"/>
  <c r="C47" i="43"/>
  <c r="H44" i="43"/>
  <c r="H50" i="43"/>
  <c r="G44" i="43"/>
  <c r="G50" i="43"/>
  <c r="F44" i="43"/>
  <c r="F50" i="43"/>
  <c r="E44" i="43"/>
  <c r="E50" i="43"/>
  <c r="D44" i="43"/>
  <c r="D50" i="43"/>
  <c r="F30" i="43"/>
  <c r="G30" i="43"/>
  <c r="C16" i="43"/>
  <c r="C15" i="43"/>
  <c r="C14" i="43"/>
  <c r="C13" i="43"/>
  <c r="I10" i="43"/>
  <c r="I16" i="43"/>
  <c r="H10" i="43"/>
  <c r="H15" i="43"/>
  <c r="G10" i="43"/>
  <c r="G16" i="43"/>
  <c r="F10" i="43"/>
  <c r="F15" i="43"/>
  <c r="E10" i="43"/>
  <c r="E16" i="43"/>
  <c r="D10" i="43"/>
  <c r="D15" i="43"/>
  <c r="V9" i="43"/>
  <c r="U9" i="43"/>
  <c r="T9" i="43"/>
  <c r="S9" i="43"/>
  <c r="S8" i="43"/>
  <c r="S7" i="43"/>
  <c r="S6" i="43"/>
  <c r="AT62" i="44"/>
  <c r="DP62" i="44"/>
  <c r="AT51" i="44"/>
  <c r="DP51" i="44"/>
  <c r="AT61" i="44"/>
  <c r="DP61" i="44"/>
  <c r="AT46" i="44"/>
  <c r="DP46" i="44"/>
  <c r="AT67" i="44"/>
  <c r="DP67" i="44"/>
  <c r="AT65" i="44"/>
  <c r="DP65" i="44"/>
  <c r="M56" i="44"/>
  <c r="N56" i="44"/>
  <c r="O56" i="44"/>
  <c r="L56" i="44"/>
  <c r="L11" i="44"/>
  <c r="M11" i="44"/>
  <c r="N11" i="44"/>
  <c r="O11" i="44"/>
  <c r="AG11" i="44"/>
  <c r="G21" i="44"/>
  <c r="U21" i="44"/>
  <c r="F20" i="44"/>
  <c r="U20" i="44"/>
  <c r="G31" i="44"/>
  <c r="U31" i="44"/>
  <c r="F30" i="44"/>
  <c r="U30" i="44"/>
  <c r="L41" i="44"/>
  <c r="M41" i="44"/>
  <c r="N41" i="44"/>
  <c r="O41" i="44"/>
  <c r="AG41" i="44"/>
  <c r="L51" i="44"/>
  <c r="M51" i="44"/>
  <c r="N51" i="44"/>
  <c r="O51" i="44"/>
  <c r="Q4" i="44"/>
  <c r="R4" i="44"/>
  <c r="S4" i="44"/>
  <c r="T4" i="44"/>
  <c r="U4" i="44"/>
  <c r="L62" i="44"/>
  <c r="L27" i="44"/>
  <c r="M27" i="44"/>
  <c r="N27" i="44"/>
  <c r="O27" i="44"/>
  <c r="L12" i="44"/>
  <c r="M12" i="44"/>
  <c r="N12" i="44"/>
  <c r="O12" i="44"/>
  <c r="L37" i="44"/>
  <c r="L50" i="44"/>
  <c r="L17" i="44"/>
  <c r="L42" i="44"/>
  <c r="L52" i="44"/>
  <c r="M52" i="44"/>
  <c r="N52" i="44"/>
  <c r="O52" i="44"/>
  <c r="L40" i="44"/>
  <c r="L60" i="44"/>
  <c r="M60" i="44"/>
  <c r="N60" i="44"/>
  <c r="O60" i="44"/>
  <c r="M42" i="44"/>
  <c r="N42" i="44"/>
  <c r="O42" i="44"/>
  <c r="M37" i="44"/>
  <c r="N37" i="44"/>
  <c r="O37" i="44"/>
  <c r="M17" i="44"/>
  <c r="N17" i="44"/>
  <c r="O17" i="44"/>
  <c r="L10" i="44"/>
  <c r="L22" i="44"/>
  <c r="M22" i="44"/>
  <c r="N22" i="44"/>
  <c r="O22" i="44"/>
  <c r="L47" i="44"/>
  <c r="L57" i="44"/>
  <c r="M57" i="44"/>
  <c r="N57" i="44"/>
  <c r="O57" i="44"/>
  <c r="L32" i="44"/>
  <c r="L45" i="44"/>
  <c r="M45" i="44"/>
  <c r="N45" i="44"/>
  <c r="O45" i="44"/>
  <c r="L67" i="44"/>
  <c r="L35" i="44"/>
  <c r="M35" i="44"/>
  <c r="N35" i="44"/>
  <c r="O35" i="44"/>
  <c r="L55" i="44"/>
  <c r="L65" i="44"/>
  <c r="M65" i="44"/>
  <c r="N65" i="44"/>
  <c r="O65" i="44"/>
  <c r="M67" i="44"/>
  <c r="N67" i="44"/>
  <c r="O67" i="44"/>
  <c r="M62" i="44"/>
  <c r="N62" i="44"/>
  <c r="O62" i="44"/>
  <c r="M55" i="44"/>
  <c r="N55" i="44"/>
  <c r="O55" i="44"/>
  <c r="M50" i="44"/>
  <c r="N50" i="44"/>
  <c r="O50" i="44"/>
  <c r="M47" i="44"/>
  <c r="N47" i="44"/>
  <c r="O47" i="44"/>
  <c r="M40" i="44"/>
  <c r="N40" i="44"/>
  <c r="O40" i="44"/>
  <c r="M32" i="44"/>
  <c r="N32" i="44"/>
  <c r="O32" i="44"/>
  <c r="M10" i="44"/>
  <c r="N10" i="44"/>
  <c r="O10" i="44"/>
  <c r="Q5" i="44"/>
  <c r="L7" i="44"/>
  <c r="M7" i="44"/>
  <c r="N7" i="44"/>
  <c r="O7" i="44"/>
  <c r="AG15" i="44"/>
  <c r="AG17" i="44"/>
  <c r="AG27" i="44"/>
  <c r="AG40" i="44"/>
  <c r="AG42" i="44"/>
  <c r="AT52" i="44"/>
  <c r="DP52" i="44"/>
  <c r="AT16" i="44"/>
  <c r="DP16" i="44"/>
  <c r="AT37" i="44"/>
  <c r="DP37" i="44"/>
  <c r="DO52" i="44"/>
  <c r="AT6" i="44"/>
  <c r="DP6" i="44"/>
  <c r="DO16" i="44"/>
  <c r="AS20" i="44"/>
  <c r="DO20" i="44"/>
  <c r="AS30" i="44"/>
  <c r="DO30" i="44"/>
  <c r="AS40" i="44"/>
  <c r="DO40" i="44"/>
  <c r="AS60" i="44"/>
  <c r="DO60" i="44"/>
  <c r="AS55" i="44"/>
  <c r="DO55" i="44"/>
  <c r="AS15" i="44"/>
  <c r="DO15" i="44"/>
  <c r="AS7" i="44"/>
  <c r="DO7" i="44"/>
  <c r="BC4" i="44"/>
  <c r="DY4" i="44"/>
  <c r="CA4" i="44"/>
  <c r="AS31" i="44"/>
  <c r="DO31" i="44"/>
  <c r="AS50" i="44"/>
  <c r="DO50" i="44"/>
  <c r="AS25" i="44"/>
  <c r="DO25" i="44"/>
  <c r="AS35" i="44"/>
  <c r="DO35" i="44"/>
  <c r="AT47" i="44"/>
  <c r="DP47" i="44"/>
  <c r="DO47" i="44"/>
  <c r="AS36" i="44"/>
  <c r="DO36" i="44"/>
  <c r="DO6" i="44"/>
  <c r="DO37" i="44"/>
  <c r="CY4" i="44"/>
  <c r="CY70" i="44"/>
  <c r="BZ2" i="44"/>
  <c r="Q11" i="44"/>
  <c r="R11" i="44"/>
  <c r="S11" i="44"/>
  <c r="T11" i="44"/>
  <c r="G16" i="44"/>
  <c r="U16" i="44"/>
  <c r="F15" i="44"/>
  <c r="U15" i="44"/>
  <c r="G26" i="44"/>
  <c r="U26" i="44"/>
  <c r="F25" i="44"/>
  <c r="U25" i="44"/>
  <c r="L46" i="44"/>
  <c r="M46" i="44"/>
  <c r="N46" i="44"/>
  <c r="O46" i="44"/>
  <c r="L5" i="44"/>
  <c r="M5" i="44"/>
  <c r="N5" i="44"/>
  <c r="O5" i="44"/>
  <c r="Q7" i="44"/>
  <c r="R7" i="44"/>
  <c r="S7" i="44"/>
  <c r="T7" i="44"/>
  <c r="AT42" i="44"/>
  <c r="DP42" i="44"/>
  <c r="AT57" i="44"/>
  <c r="DP57" i="44"/>
  <c r="AT41" i="44"/>
  <c r="DP41" i="44"/>
  <c r="AT56" i="44"/>
  <c r="DP56" i="44"/>
  <c r="AS22" i="44"/>
  <c r="DO22" i="44"/>
  <c r="DO56" i="44"/>
  <c r="DO62" i="44"/>
  <c r="AS17" i="44"/>
  <c r="DO17" i="44"/>
  <c r="AS10" i="44"/>
  <c r="DO10" i="44"/>
  <c r="AS11" i="44"/>
  <c r="DO11" i="44"/>
  <c r="AS21" i="44"/>
  <c r="DO21" i="44"/>
  <c r="AS32" i="44"/>
  <c r="DO32" i="44"/>
  <c r="DO51" i="44"/>
  <c r="DO61" i="44"/>
  <c r="AT5" i="44"/>
  <c r="DP5" i="44"/>
  <c r="AS12" i="44"/>
  <c r="DO12" i="44"/>
  <c r="DO41" i="44"/>
  <c r="DO42" i="44"/>
  <c r="DO57" i="44"/>
  <c r="DO5" i="44"/>
  <c r="AS66" i="44"/>
  <c r="DO66" i="44"/>
  <c r="DO46" i="44"/>
  <c r="DO67" i="44"/>
  <c r="AT45" i="44"/>
  <c r="DP45" i="44"/>
  <c r="DO45" i="44"/>
  <c r="AS27" i="44"/>
  <c r="DO27" i="44"/>
  <c r="DO65" i="44"/>
  <c r="AS26" i="44"/>
  <c r="DO26" i="44"/>
  <c r="BB29" i="44"/>
  <c r="BZ29" i="44"/>
  <c r="CY29" i="44"/>
  <c r="BB64" i="44"/>
  <c r="BZ64" i="44"/>
  <c r="CY64" i="44"/>
  <c r="BB44" i="44"/>
  <c r="BZ44" i="44"/>
  <c r="CY44" i="44"/>
  <c r="BB49" i="44"/>
  <c r="BZ49" i="44"/>
  <c r="CY49" i="44"/>
  <c r="BB24" i="44"/>
  <c r="BZ24" i="44"/>
  <c r="CY24" i="44"/>
  <c r="BB39" i="44"/>
  <c r="BZ39" i="44"/>
  <c r="CY39" i="44"/>
  <c r="BB19" i="44"/>
  <c r="BZ19" i="44"/>
  <c r="CY19" i="44"/>
  <c r="BB54" i="44"/>
  <c r="BZ54" i="44"/>
  <c r="CY54" i="44"/>
  <c r="BB34" i="44"/>
  <c r="BZ34" i="44"/>
  <c r="CY34" i="44"/>
  <c r="BB59" i="44"/>
  <c r="BZ59" i="44"/>
  <c r="CY59" i="44"/>
  <c r="C26" i="44"/>
  <c r="A25" i="44"/>
  <c r="BO25" i="44"/>
  <c r="A24" i="44"/>
  <c r="Q66" i="44"/>
  <c r="R66" i="44"/>
  <c r="S66" i="44"/>
  <c r="T66" i="44"/>
  <c r="L66" i="44"/>
  <c r="M66" i="44"/>
  <c r="N66" i="44"/>
  <c r="O66" i="44"/>
  <c r="AG61" i="44"/>
  <c r="Q61" i="44"/>
  <c r="R61" i="44"/>
  <c r="S61" i="44"/>
  <c r="T61" i="44"/>
  <c r="Q56" i="44"/>
  <c r="R56" i="44"/>
  <c r="S56" i="44"/>
  <c r="T56" i="44"/>
  <c r="AG51" i="44"/>
  <c r="Q51" i="44"/>
  <c r="R51" i="44"/>
  <c r="S51" i="44"/>
  <c r="T51" i="44"/>
  <c r="Q46" i="44"/>
  <c r="R46" i="44"/>
  <c r="S46" i="44"/>
  <c r="T46" i="44"/>
  <c r="Q41" i="44"/>
  <c r="R41" i="44"/>
  <c r="S41" i="44"/>
  <c r="T41" i="44"/>
  <c r="AG35" i="44"/>
  <c r="Q36" i="44"/>
  <c r="R36" i="44"/>
  <c r="S36" i="44"/>
  <c r="T36" i="44"/>
  <c r="AG66" i="44"/>
  <c r="AG56" i="44"/>
  <c r="AG46" i="44"/>
  <c r="AG7" i="44"/>
  <c r="AJ37" i="44"/>
  <c r="AG37" i="44"/>
  <c r="AJ42" i="44"/>
  <c r="AJ47" i="44"/>
  <c r="AJ57" i="44"/>
  <c r="AJ67" i="44"/>
  <c r="C10" i="44"/>
  <c r="BO10" i="44"/>
  <c r="C60" i="44"/>
  <c r="BO60" i="44"/>
  <c r="C45" i="44"/>
  <c r="BO45" i="44"/>
  <c r="C35" i="44"/>
  <c r="BO35" i="44"/>
  <c r="C20" i="44"/>
  <c r="BO20" i="44"/>
  <c r="AJ17" i="44"/>
  <c r="AJ22" i="44"/>
  <c r="AJ27" i="44"/>
  <c r="AJ32" i="44"/>
  <c r="AJ52" i="44"/>
  <c r="AJ62" i="44"/>
  <c r="C5" i="44"/>
  <c r="BO5" i="44"/>
  <c r="C65" i="44"/>
  <c r="BO65" i="44"/>
  <c r="C50" i="44"/>
  <c r="BO50" i="44"/>
  <c r="C40" i="44"/>
  <c r="BO40" i="44"/>
  <c r="C30" i="44"/>
  <c r="BO30" i="44"/>
  <c r="BT3" i="26"/>
  <c r="AJ7" i="44"/>
  <c r="AJ12" i="44"/>
  <c r="I36" i="44"/>
  <c r="AH36" i="44"/>
  <c r="I31" i="44"/>
  <c r="AH31" i="44"/>
  <c r="AG31" i="44"/>
  <c r="I26" i="44"/>
  <c r="AH26" i="44"/>
  <c r="I21" i="44"/>
  <c r="AH21" i="44"/>
  <c r="AG21" i="44"/>
  <c r="AE20" i="44"/>
  <c r="AG20" i="44"/>
  <c r="AH5" i="44"/>
  <c r="AG5" i="44"/>
  <c r="AE25" i="44"/>
  <c r="AG25" i="44"/>
  <c r="AE30" i="44"/>
  <c r="AG30" i="44"/>
  <c r="G35" i="43"/>
  <c r="G31" i="43"/>
  <c r="G32" i="43"/>
  <c r="H30" i="43"/>
  <c r="E13" i="43"/>
  <c r="G13" i="43"/>
  <c r="I13" i="43"/>
  <c r="T6" i="43"/>
  <c r="D14" i="43"/>
  <c r="F14" i="43"/>
  <c r="H14" i="43"/>
  <c r="E15" i="43"/>
  <c r="G15" i="43"/>
  <c r="I15" i="43"/>
  <c r="T8" i="43"/>
  <c r="D16" i="43"/>
  <c r="F16" i="43"/>
  <c r="H16" i="43"/>
  <c r="F35" i="43"/>
  <c r="F31" i="43"/>
  <c r="F32" i="43"/>
  <c r="D47" i="43"/>
  <c r="F47" i="43"/>
  <c r="H47" i="43"/>
  <c r="V6" i="43"/>
  <c r="D48" i="43"/>
  <c r="F48" i="43"/>
  <c r="H48" i="43"/>
  <c r="V7" i="43"/>
  <c r="D49" i="43"/>
  <c r="F49" i="43"/>
  <c r="H49" i="43"/>
  <c r="V8" i="43"/>
  <c r="E64" i="43"/>
  <c r="G64" i="43"/>
  <c r="E65" i="43"/>
  <c r="G65" i="43"/>
  <c r="E66" i="43"/>
  <c r="G66" i="43"/>
  <c r="E83" i="43"/>
  <c r="G83" i="43"/>
  <c r="I83" i="43"/>
  <c r="Z6" i="43"/>
  <c r="D84" i="43"/>
  <c r="F84" i="43"/>
  <c r="H84" i="43"/>
  <c r="E85" i="43"/>
  <c r="G85" i="43"/>
  <c r="I85" i="43"/>
  <c r="Z8" i="43"/>
  <c r="D86" i="43"/>
  <c r="F86" i="43"/>
  <c r="H86" i="43"/>
  <c r="E102" i="43"/>
  <c r="G102" i="43"/>
  <c r="I102" i="43"/>
  <c r="X6" i="43"/>
  <c r="D103" i="43"/>
  <c r="F103" i="43"/>
  <c r="H103" i="43"/>
  <c r="E104" i="43"/>
  <c r="G104" i="43"/>
  <c r="I104" i="43"/>
  <c r="X8" i="43"/>
  <c r="D105" i="43"/>
  <c r="F105" i="43"/>
  <c r="H105" i="43"/>
  <c r="E119" i="43"/>
  <c r="G119" i="43"/>
  <c r="I119" i="43"/>
  <c r="E120" i="43"/>
  <c r="G120" i="43"/>
  <c r="I120" i="43"/>
  <c r="E121" i="43"/>
  <c r="G121" i="43"/>
  <c r="I121" i="43"/>
  <c r="D13" i="43"/>
  <c r="F13" i="43"/>
  <c r="H13" i="43"/>
  <c r="E14" i="43"/>
  <c r="G14" i="43"/>
  <c r="I14" i="43"/>
  <c r="T7" i="43"/>
  <c r="E47" i="43"/>
  <c r="G47" i="43"/>
  <c r="E48" i="43"/>
  <c r="G48" i="43"/>
  <c r="E49" i="43"/>
  <c r="G49" i="43"/>
  <c r="D64" i="43"/>
  <c r="F64" i="43"/>
  <c r="H64" i="43"/>
  <c r="W6" i="43"/>
  <c r="D65" i="43"/>
  <c r="F65" i="43"/>
  <c r="H65" i="43"/>
  <c r="W7" i="43"/>
  <c r="D66" i="43"/>
  <c r="F66" i="43"/>
  <c r="H66" i="43"/>
  <c r="W8" i="43"/>
  <c r="D83" i="43"/>
  <c r="F83" i="43"/>
  <c r="H83" i="43"/>
  <c r="E84" i="43"/>
  <c r="G84" i="43"/>
  <c r="I84" i="43"/>
  <c r="Z7" i="43"/>
  <c r="D102" i="43"/>
  <c r="F102" i="43"/>
  <c r="H102" i="43"/>
  <c r="E103" i="43"/>
  <c r="G103" i="43"/>
  <c r="I103" i="43"/>
  <c r="X7" i="43"/>
  <c r="J116" i="43"/>
  <c r="J119" i="43"/>
  <c r="Y6" i="43"/>
  <c r="D119" i="43"/>
  <c r="F119" i="43"/>
  <c r="H119" i="43"/>
  <c r="D120" i="43"/>
  <c r="F120" i="43"/>
  <c r="H120" i="43"/>
  <c r="D121" i="43"/>
  <c r="F121" i="43"/>
  <c r="H121" i="43"/>
  <c r="R5" i="44"/>
  <c r="S5" i="44"/>
  <c r="T5" i="44"/>
  <c r="BC59" i="44"/>
  <c r="CA59" i="44"/>
  <c r="CZ59" i="44"/>
  <c r="BC34" i="44"/>
  <c r="CA34" i="44"/>
  <c r="CZ34" i="44"/>
  <c r="BC54" i="44"/>
  <c r="CA54" i="44"/>
  <c r="CZ54" i="44"/>
  <c r="BC19" i="44"/>
  <c r="CA19" i="44"/>
  <c r="CZ19" i="44"/>
  <c r="BC39" i="44"/>
  <c r="CA39" i="44"/>
  <c r="CZ39" i="44"/>
  <c r="BC24" i="44"/>
  <c r="CA24" i="44"/>
  <c r="CZ24" i="44"/>
  <c r="BC49" i="44"/>
  <c r="CA49" i="44"/>
  <c r="CZ49" i="44"/>
  <c r="BC44" i="44"/>
  <c r="CA44" i="44"/>
  <c r="CZ44" i="44"/>
  <c r="BC64" i="44"/>
  <c r="CA64" i="44"/>
  <c r="CZ64" i="44"/>
  <c r="BC29" i="44"/>
  <c r="CA29" i="44"/>
  <c r="CZ29" i="44"/>
  <c r="AT27" i="44"/>
  <c r="DP27" i="44"/>
  <c r="AU45" i="44"/>
  <c r="DQ45" i="44"/>
  <c r="AT12" i="44"/>
  <c r="DP12" i="44"/>
  <c r="AU5" i="44"/>
  <c r="DQ5" i="44"/>
  <c r="AT21" i="44"/>
  <c r="DP21" i="44"/>
  <c r="AT10" i="44"/>
  <c r="DP10" i="44"/>
  <c r="AT22" i="44"/>
  <c r="DP22" i="44"/>
  <c r="AU56" i="44"/>
  <c r="DQ56" i="44"/>
  <c r="AU41" i="44"/>
  <c r="DQ41" i="44"/>
  <c r="AU57" i="44"/>
  <c r="DQ57" i="44"/>
  <c r="AU42" i="44"/>
  <c r="DQ42" i="44"/>
  <c r="P25" i="44"/>
  <c r="F26" i="44"/>
  <c r="P26" i="44"/>
  <c r="AT35" i="44"/>
  <c r="DP35" i="44"/>
  <c r="AT50" i="44"/>
  <c r="DP50" i="44"/>
  <c r="CZ4" i="44"/>
  <c r="CZ70" i="44"/>
  <c r="CA2" i="44"/>
  <c r="BD4" i="44"/>
  <c r="DZ4" i="44"/>
  <c r="CB4" i="44"/>
  <c r="AT15" i="44"/>
  <c r="DP15" i="44"/>
  <c r="AT60" i="44"/>
  <c r="DP60" i="44"/>
  <c r="AT30" i="44"/>
  <c r="DP30" i="44"/>
  <c r="P20" i="44"/>
  <c r="F21" i="44"/>
  <c r="P21" i="44"/>
  <c r="AT26" i="44"/>
  <c r="DP26" i="44"/>
  <c r="AT66" i="44"/>
  <c r="DP66" i="44"/>
  <c r="AT32" i="44"/>
  <c r="DP32" i="44"/>
  <c r="AT11" i="44"/>
  <c r="DP11" i="44"/>
  <c r="AT17" i="44"/>
  <c r="DP17" i="44"/>
  <c r="Q25" i="44"/>
  <c r="P15" i="44"/>
  <c r="Q15" i="44"/>
  <c r="F16" i="44"/>
  <c r="P16" i="44"/>
  <c r="AT36" i="44"/>
  <c r="DP36" i="44"/>
  <c r="AU47" i="44"/>
  <c r="DQ47" i="44"/>
  <c r="AT25" i="44"/>
  <c r="DP25" i="44"/>
  <c r="AT31" i="44"/>
  <c r="DP31" i="44"/>
  <c r="AT7" i="44"/>
  <c r="DP7" i="44"/>
  <c r="DP55" i="44"/>
  <c r="AT55" i="44"/>
  <c r="DP40" i="44"/>
  <c r="AT40" i="44"/>
  <c r="AT20" i="44"/>
  <c r="DP20" i="44"/>
  <c r="AU6" i="44"/>
  <c r="DQ6" i="44"/>
  <c r="AU37" i="44"/>
  <c r="DQ37" i="44"/>
  <c r="AU16" i="44"/>
  <c r="DQ16" i="44"/>
  <c r="AU52" i="44"/>
  <c r="DQ52" i="44"/>
  <c r="V4" i="44"/>
  <c r="W4" i="44"/>
  <c r="X4" i="44"/>
  <c r="Y4" i="44"/>
  <c r="Z4" i="44"/>
  <c r="AA4" i="44"/>
  <c r="AB4" i="44"/>
  <c r="AC4" i="44"/>
  <c r="AD4" i="44"/>
  <c r="AE4" i="44"/>
  <c r="AF26" i="44"/>
  <c r="Q65" i="44"/>
  <c r="Q67" i="44"/>
  <c r="R67" i="44"/>
  <c r="S67" i="44"/>
  <c r="T67" i="44"/>
  <c r="Q60" i="44"/>
  <c r="R60" i="44"/>
  <c r="S60" i="44"/>
  <c r="T60" i="44"/>
  <c r="Q62" i="44"/>
  <c r="R62" i="44"/>
  <c r="S62" i="44"/>
  <c r="T62" i="44"/>
  <c r="Q55" i="44"/>
  <c r="R55" i="44"/>
  <c r="S55" i="44"/>
  <c r="T55" i="44"/>
  <c r="Q45" i="44"/>
  <c r="Q47" i="44"/>
  <c r="Q40" i="44"/>
  <c r="R40" i="44"/>
  <c r="S40" i="44"/>
  <c r="T40" i="44"/>
  <c r="Q35" i="44"/>
  <c r="R35" i="44"/>
  <c r="S35" i="44"/>
  <c r="T35" i="44"/>
  <c r="Q32" i="44"/>
  <c r="R32" i="44"/>
  <c r="S32" i="44"/>
  <c r="T32" i="44"/>
  <c r="Q12" i="44"/>
  <c r="R65" i="44"/>
  <c r="S65" i="44"/>
  <c r="T65" i="44"/>
  <c r="Q57" i="44"/>
  <c r="R57" i="44"/>
  <c r="S57" i="44"/>
  <c r="T57" i="44"/>
  <c r="Q50" i="44"/>
  <c r="R50" i="44"/>
  <c r="S50" i="44"/>
  <c r="T50" i="44"/>
  <c r="Q52" i="44"/>
  <c r="R52" i="44"/>
  <c r="S52" i="44"/>
  <c r="T52" i="44"/>
  <c r="R45" i="44"/>
  <c r="S45" i="44"/>
  <c r="T45" i="44"/>
  <c r="R47" i="44"/>
  <c r="S47" i="44"/>
  <c r="T47" i="44"/>
  <c r="Q42" i="44"/>
  <c r="R42" i="44"/>
  <c r="S42" i="44"/>
  <c r="T42" i="44"/>
  <c r="Q37" i="44"/>
  <c r="R37" i="44"/>
  <c r="S37" i="44"/>
  <c r="T37" i="44"/>
  <c r="Q27" i="44"/>
  <c r="Q17" i="44"/>
  <c r="R17" i="44"/>
  <c r="S17" i="44"/>
  <c r="T17" i="44"/>
  <c r="Q10" i="44"/>
  <c r="R10" i="44"/>
  <c r="S10" i="44"/>
  <c r="T10" i="44"/>
  <c r="R12" i="44"/>
  <c r="S12" i="44"/>
  <c r="T12" i="44"/>
  <c r="R27" i="44"/>
  <c r="S27" i="44"/>
  <c r="T27" i="44"/>
  <c r="Q22" i="44"/>
  <c r="R22" i="44"/>
  <c r="S22" i="44"/>
  <c r="T22" i="44"/>
  <c r="P30" i="44"/>
  <c r="F31" i="44"/>
  <c r="P31" i="44"/>
  <c r="Q20" i="44"/>
  <c r="R20" i="44"/>
  <c r="S20" i="44"/>
  <c r="T20" i="44"/>
  <c r="Q6" i="44"/>
  <c r="R6" i="44"/>
  <c r="S6" i="44"/>
  <c r="T6" i="44"/>
  <c r="AU65" i="44"/>
  <c r="DQ65" i="44"/>
  <c r="AU67" i="44"/>
  <c r="DQ67" i="44"/>
  <c r="AU46" i="44"/>
  <c r="DQ46" i="44"/>
  <c r="AU61" i="44"/>
  <c r="DQ61" i="44"/>
  <c r="AU51" i="44"/>
  <c r="DQ51" i="44"/>
  <c r="AU62" i="44"/>
  <c r="DQ62" i="44"/>
  <c r="C31" i="44"/>
  <c r="A30" i="44"/>
  <c r="C41" i="44"/>
  <c r="A40" i="44"/>
  <c r="C51" i="44"/>
  <c r="A50" i="44"/>
  <c r="C6" i="44"/>
  <c r="A5" i="44"/>
  <c r="C21" i="44"/>
  <c r="A20" i="44"/>
  <c r="C36" i="44"/>
  <c r="A35" i="44"/>
  <c r="C46" i="44"/>
  <c r="A45" i="44"/>
  <c r="C11" i="44"/>
  <c r="A10" i="44"/>
  <c r="C27" i="44"/>
  <c r="A26" i="44"/>
  <c r="C66" i="44"/>
  <c r="A65" i="44"/>
  <c r="C61" i="44"/>
  <c r="A60" i="44"/>
  <c r="AG36" i="44"/>
  <c r="AG26" i="44"/>
  <c r="AF5" i="44"/>
  <c r="V20" i="44"/>
  <c r="W20" i="44"/>
  <c r="X20" i="44"/>
  <c r="Y20" i="44"/>
  <c r="Z20" i="44"/>
  <c r="AA20" i="44"/>
  <c r="AB20" i="44"/>
  <c r="AC20" i="44"/>
  <c r="AD20" i="44"/>
  <c r="AF20" i="44"/>
  <c r="I30" i="43"/>
  <c r="H35" i="43"/>
  <c r="H31" i="43"/>
  <c r="H32" i="43"/>
  <c r="J122" i="43"/>
  <c r="Y9" i="43"/>
  <c r="J121" i="43"/>
  <c r="Y8" i="43"/>
  <c r="J120" i="43"/>
  <c r="Y7" i="43"/>
  <c r="R25" i="44"/>
  <c r="S25" i="44"/>
  <c r="T25" i="44"/>
  <c r="AV62" i="44"/>
  <c r="DR62" i="44"/>
  <c r="AV51" i="44"/>
  <c r="DR51" i="44"/>
  <c r="AV61" i="44"/>
  <c r="DR61" i="44"/>
  <c r="AV46" i="44"/>
  <c r="DR46" i="44"/>
  <c r="AV67" i="44"/>
  <c r="DR67" i="44"/>
  <c r="AV65" i="44"/>
  <c r="DR65" i="44"/>
  <c r="L30" i="44"/>
  <c r="M30" i="44"/>
  <c r="N30" i="44"/>
  <c r="O30" i="44"/>
  <c r="AV6" i="44"/>
  <c r="DR6" i="44"/>
  <c r="AU55" i="44"/>
  <c r="DQ55" i="44"/>
  <c r="AU7" i="44"/>
  <c r="DQ7" i="44"/>
  <c r="AU31" i="44"/>
  <c r="DQ31" i="44"/>
  <c r="AV47" i="44"/>
  <c r="DR47" i="44"/>
  <c r="AU36" i="44"/>
  <c r="DQ36" i="44"/>
  <c r="L15" i="44"/>
  <c r="M15" i="44"/>
  <c r="N15" i="44"/>
  <c r="O15" i="44"/>
  <c r="AU17" i="44"/>
  <c r="DQ17" i="44"/>
  <c r="AU32" i="44"/>
  <c r="DQ32" i="44"/>
  <c r="AU26" i="44"/>
  <c r="DQ26" i="44"/>
  <c r="L20" i="44"/>
  <c r="M20" i="44"/>
  <c r="N20" i="44"/>
  <c r="O20" i="44"/>
  <c r="AU30" i="44"/>
  <c r="DQ30" i="44"/>
  <c r="AU15" i="44"/>
  <c r="DQ15" i="44"/>
  <c r="DA4" i="44"/>
  <c r="DA70" i="44"/>
  <c r="CB2" i="44"/>
  <c r="BE4" i="44"/>
  <c r="EA4" i="44"/>
  <c r="CC4" i="44"/>
  <c r="AU35" i="44"/>
  <c r="DQ35" i="44"/>
  <c r="R15" i="44"/>
  <c r="S15" i="44"/>
  <c r="T15" i="44"/>
  <c r="Q26" i="44"/>
  <c r="R26" i="44"/>
  <c r="S26" i="44"/>
  <c r="T26" i="44"/>
  <c r="L26" i="44"/>
  <c r="M26" i="44"/>
  <c r="N26" i="44"/>
  <c r="O26" i="44"/>
  <c r="AU10" i="44"/>
  <c r="DQ10" i="44"/>
  <c r="AV5" i="44"/>
  <c r="DR5" i="44"/>
  <c r="AU12" i="44"/>
  <c r="DQ12" i="44"/>
  <c r="AV45" i="44"/>
  <c r="DR45" i="44"/>
  <c r="BD29" i="44"/>
  <c r="CB29" i="44"/>
  <c r="DA29" i="44"/>
  <c r="BD64" i="44"/>
  <c r="CB64" i="44"/>
  <c r="DA64" i="44"/>
  <c r="BD44" i="44"/>
  <c r="CB44" i="44"/>
  <c r="DA44" i="44"/>
  <c r="BD49" i="44"/>
  <c r="CB49" i="44"/>
  <c r="DA49" i="44"/>
  <c r="BD24" i="44"/>
  <c r="CB24" i="44"/>
  <c r="DA24" i="44"/>
  <c r="BD39" i="44"/>
  <c r="CB39" i="44"/>
  <c r="DA39" i="44"/>
  <c r="BD19" i="44"/>
  <c r="CB19" i="44"/>
  <c r="DA19" i="44"/>
  <c r="BD54" i="44"/>
  <c r="CB54" i="44"/>
  <c r="DA54" i="44"/>
  <c r="BD34" i="44"/>
  <c r="CB34" i="44"/>
  <c r="DA34" i="44"/>
  <c r="BD59" i="44"/>
  <c r="CB59" i="44"/>
  <c r="DA59" i="44"/>
  <c r="Q31" i="44"/>
  <c r="L31" i="44"/>
  <c r="M31" i="44"/>
  <c r="N31" i="44"/>
  <c r="O31" i="44"/>
  <c r="AF4" i="44"/>
  <c r="V5" i="44"/>
  <c r="W5" i="44"/>
  <c r="X5" i="44"/>
  <c r="Y5" i="44"/>
  <c r="Z5" i="44"/>
  <c r="AA5" i="44"/>
  <c r="AB5" i="44"/>
  <c r="AC5" i="44"/>
  <c r="AD5" i="44"/>
  <c r="AF7" i="44"/>
  <c r="AF6" i="44"/>
  <c r="AF16" i="44"/>
  <c r="AF31" i="44"/>
  <c r="V36" i="44"/>
  <c r="W36" i="44"/>
  <c r="X36" i="44"/>
  <c r="Y36" i="44"/>
  <c r="Z36" i="44"/>
  <c r="AA36" i="44"/>
  <c r="AB36" i="44"/>
  <c r="AC36" i="44"/>
  <c r="AD36" i="44"/>
  <c r="V11" i="44"/>
  <c r="W11" i="44"/>
  <c r="X11" i="44"/>
  <c r="Y11" i="44"/>
  <c r="Z11" i="44"/>
  <c r="AA11" i="44"/>
  <c r="AB11" i="44"/>
  <c r="AC11" i="44"/>
  <c r="AD11" i="44"/>
  <c r="AF41" i="44"/>
  <c r="AF51" i="44"/>
  <c r="AF46" i="44"/>
  <c r="V65" i="44"/>
  <c r="W65" i="44"/>
  <c r="X65" i="44"/>
  <c r="Y65" i="44"/>
  <c r="Z65" i="44"/>
  <c r="AA65" i="44"/>
  <c r="AB65" i="44"/>
  <c r="AC65" i="44"/>
  <c r="AD65" i="44"/>
  <c r="V62" i="44"/>
  <c r="W62" i="44"/>
  <c r="X62" i="44"/>
  <c r="Y62" i="44"/>
  <c r="Z62" i="44"/>
  <c r="AA62" i="44"/>
  <c r="AB62" i="44"/>
  <c r="AC62" i="44"/>
  <c r="AD62" i="44"/>
  <c r="V57" i="44"/>
  <c r="AF52" i="44"/>
  <c r="AF47" i="44"/>
  <c r="V35" i="44"/>
  <c r="W35" i="44"/>
  <c r="X35" i="44"/>
  <c r="Y35" i="44"/>
  <c r="Z35" i="44"/>
  <c r="AA35" i="44"/>
  <c r="AB35" i="44"/>
  <c r="AC35" i="44"/>
  <c r="AD35" i="44"/>
  <c r="V32" i="44"/>
  <c r="W32" i="44"/>
  <c r="X32" i="44"/>
  <c r="Y32" i="44"/>
  <c r="Z32" i="44"/>
  <c r="AA32" i="44"/>
  <c r="AB32" i="44"/>
  <c r="AC32" i="44"/>
  <c r="AD32" i="44"/>
  <c r="AF21" i="44"/>
  <c r="V10" i="44"/>
  <c r="W10" i="44"/>
  <c r="X10" i="44"/>
  <c r="Y10" i="44"/>
  <c r="Z10" i="44"/>
  <c r="AA10" i="44"/>
  <c r="AB10" i="44"/>
  <c r="AC10" i="44"/>
  <c r="AD10" i="44"/>
  <c r="V7" i="44"/>
  <c r="W7" i="44"/>
  <c r="X7" i="44"/>
  <c r="Y7" i="44"/>
  <c r="Z7" i="44"/>
  <c r="AA7" i="44"/>
  <c r="AB7" i="44"/>
  <c r="AC7" i="44"/>
  <c r="AD7" i="44"/>
  <c r="V22" i="44"/>
  <c r="AF22" i="44"/>
  <c r="V6" i="44"/>
  <c r="W6" i="44"/>
  <c r="X6" i="44"/>
  <c r="Y6" i="44"/>
  <c r="Z6" i="44"/>
  <c r="AA6" i="44"/>
  <c r="AB6" i="44"/>
  <c r="AC6" i="44"/>
  <c r="AD6" i="44"/>
  <c r="V16" i="44"/>
  <c r="W16" i="44"/>
  <c r="X16" i="44"/>
  <c r="Y16" i="44"/>
  <c r="Z16" i="44"/>
  <c r="AA16" i="44"/>
  <c r="AB16" i="44"/>
  <c r="AC16" i="44"/>
  <c r="AD16" i="44"/>
  <c r="V31" i="44"/>
  <c r="AF66" i="44"/>
  <c r="AF11" i="44"/>
  <c r="V26" i="44"/>
  <c r="W26" i="44"/>
  <c r="X26" i="44"/>
  <c r="Y26" i="44"/>
  <c r="Z26" i="44"/>
  <c r="AA26" i="44"/>
  <c r="AB26" i="44"/>
  <c r="AC26" i="44"/>
  <c r="AD26" i="44"/>
  <c r="V41" i="44"/>
  <c r="W41" i="44"/>
  <c r="X41" i="44"/>
  <c r="Y41" i="44"/>
  <c r="Z41" i="44"/>
  <c r="AA41" i="44"/>
  <c r="AB41" i="44"/>
  <c r="AC41" i="44"/>
  <c r="AD41" i="44"/>
  <c r="V51" i="44"/>
  <c r="W51" i="44"/>
  <c r="X51" i="44"/>
  <c r="Y51" i="44"/>
  <c r="Z51" i="44"/>
  <c r="AA51" i="44"/>
  <c r="AB51" i="44"/>
  <c r="AC51" i="44"/>
  <c r="AD51" i="44"/>
  <c r="V61" i="44"/>
  <c r="W61" i="44"/>
  <c r="X61" i="44"/>
  <c r="Y61" i="44"/>
  <c r="Z61" i="44"/>
  <c r="AA61" i="44"/>
  <c r="AB61" i="44"/>
  <c r="AC61" i="44"/>
  <c r="AD61" i="44"/>
  <c r="V46" i="44"/>
  <c r="W46" i="44"/>
  <c r="X46" i="44"/>
  <c r="Y46" i="44"/>
  <c r="Z46" i="44"/>
  <c r="AA46" i="44"/>
  <c r="AB46" i="44"/>
  <c r="AC46" i="44"/>
  <c r="AD46" i="44"/>
  <c r="V56" i="44"/>
  <c r="W56" i="44"/>
  <c r="X56" i="44"/>
  <c r="Y56" i="44"/>
  <c r="Z56" i="44"/>
  <c r="AA56" i="44"/>
  <c r="AB56" i="44"/>
  <c r="AC56" i="44"/>
  <c r="AD56" i="44"/>
  <c r="AF65" i="44"/>
  <c r="AF67" i="44"/>
  <c r="AF60" i="44"/>
  <c r="AF62" i="44"/>
  <c r="AF55" i="44"/>
  <c r="AF57" i="44"/>
  <c r="V50" i="44"/>
  <c r="W50" i="44"/>
  <c r="X50" i="44"/>
  <c r="Y50" i="44"/>
  <c r="Z50" i="44"/>
  <c r="AA50" i="44"/>
  <c r="AB50" i="44"/>
  <c r="AC50" i="44"/>
  <c r="AD50" i="44"/>
  <c r="V52" i="44"/>
  <c r="W52" i="44"/>
  <c r="X52" i="44"/>
  <c r="Y52" i="44"/>
  <c r="Z52" i="44"/>
  <c r="AA52" i="44"/>
  <c r="AB52" i="44"/>
  <c r="AC52" i="44"/>
  <c r="AD52" i="44"/>
  <c r="V45" i="44"/>
  <c r="V47" i="44"/>
  <c r="W47" i="44"/>
  <c r="X47" i="44"/>
  <c r="Y47" i="44"/>
  <c r="Z47" i="44"/>
  <c r="AA47" i="44"/>
  <c r="AB47" i="44"/>
  <c r="AC47" i="44"/>
  <c r="AD47" i="44"/>
  <c r="W45" i="44"/>
  <c r="X45" i="44"/>
  <c r="Y45" i="44"/>
  <c r="Z45" i="44"/>
  <c r="AA45" i="44"/>
  <c r="AB45" i="44"/>
  <c r="AC45" i="44"/>
  <c r="AD45" i="44"/>
  <c r="AF40" i="44"/>
  <c r="V42" i="44"/>
  <c r="W42" i="44"/>
  <c r="X42" i="44"/>
  <c r="Y42" i="44"/>
  <c r="Z42" i="44"/>
  <c r="AA42" i="44"/>
  <c r="AB42" i="44"/>
  <c r="AC42" i="44"/>
  <c r="AD42" i="44"/>
  <c r="AF35" i="44"/>
  <c r="AF37" i="44"/>
  <c r="V30" i="44"/>
  <c r="W30" i="44"/>
  <c r="X30" i="44"/>
  <c r="Y30" i="44"/>
  <c r="Z30" i="44"/>
  <c r="AA30" i="44"/>
  <c r="AB30" i="44"/>
  <c r="AC30" i="44"/>
  <c r="AD30" i="44"/>
  <c r="W31" i="44"/>
  <c r="X31" i="44"/>
  <c r="Y31" i="44"/>
  <c r="Z31" i="44"/>
  <c r="AA31" i="44"/>
  <c r="AB31" i="44"/>
  <c r="AC31" i="44"/>
  <c r="AD31" i="44"/>
  <c r="AF32" i="44"/>
  <c r="V27" i="44"/>
  <c r="W27" i="44"/>
  <c r="X27" i="44"/>
  <c r="Y27" i="44"/>
  <c r="Z27" i="44"/>
  <c r="AA27" i="44"/>
  <c r="AB27" i="44"/>
  <c r="AC27" i="44"/>
  <c r="AD27" i="44"/>
  <c r="V21" i="44"/>
  <c r="W21" i="44"/>
  <c r="X21" i="44"/>
  <c r="Y21" i="44"/>
  <c r="Z21" i="44"/>
  <c r="AA21" i="44"/>
  <c r="AB21" i="44"/>
  <c r="AC21" i="44"/>
  <c r="AD21" i="44"/>
  <c r="W22" i="44"/>
  <c r="X22" i="44"/>
  <c r="Y22" i="44"/>
  <c r="Z22" i="44"/>
  <c r="AA22" i="44"/>
  <c r="AB22" i="44"/>
  <c r="AC22" i="44"/>
  <c r="AD22" i="44"/>
  <c r="AF15" i="44"/>
  <c r="V17" i="44"/>
  <c r="W17" i="44"/>
  <c r="X17" i="44"/>
  <c r="Y17" i="44"/>
  <c r="Z17" i="44"/>
  <c r="AA17" i="44"/>
  <c r="AB17" i="44"/>
  <c r="AC17" i="44"/>
  <c r="AD17" i="44"/>
  <c r="AF10" i="44"/>
  <c r="AF12" i="44"/>
  <c r="V66" i="44"/>
  <c r="W66" i="44"/>
  <c r="X66" i="44"/>
  <c r="Y66" i="44"/>
  <c r="Z66" i="44"/>
  <c r="AA66" i="44"/>
  <c r="AB66" i="44"/>
  <c r="AC66" i="44"/>
  <c r="AD66" i="44"/>
  <c r="AF61" i="44"/>
  <c r="AF56" i="44"/>
  <c r="V67" i="44"/>
  <c r="W67" i="44"/>
  <c r="X67" i="44"/>
  <c r="Y67" i="44"/>
  <c r="Z67" i="44"/>
  <c r="AA67" i="44"/>
  <c r="AB67" i="44"/>
  <c r="AC67" i="44"/>
  <c r="AD67" i="44"/>
  <c r="V60" i="44"/>
  <c r="W60" i="44"/>
  <c r="X60" i="44"/>
  <c r="Y60" i="44"/>
  <c r="Z60" i="44"/>
  <c r="AA60" i="44"/>
  <c r="AB60" i="44"/>
  <c r="AC60" i="44"/>
  <c r="AD60" i="44"/>
  <c r="V55" i="44"/>
  <c r="W55" i="44"/>
  <c r="X55" i="44"/>
  <c r="Y55" i="44"/>
  <c r="Z55" i="44"/>
  <c r="AA55" i="44"/>
  <c r="AB55" i="44"/>
  <c r="AC55" i="44"/>
  <c r="AD55" i="44"/>
  <c r="W57" i="44"/>
  <c r="X57" i="44"/>
  <c r="Y57" i="44"/>
  <c r="Z57" i="44"/>
  <c r="AA57" i="44"/>
  <c r="AB57" i="44"/>
  <c r="AC57" i="44"/>
  <c r="AD57" i="44"/>
  <c r="AF50" i="44"/>
  <c r="AF45" i="44"/>
  <c r="V40" i="44"/>
  <c r="W40" i="44"/>
  <c r="X40" i="44"/>
  <c r="Y40" i="44"/>
  <c r="Z40" i="44"/>
  <c r="AA40" i="44"/>
  <c r="AB40" i="44"/>
  <c r="AC40" i="44"/>
  <c r="AD40" i="44"/>
  <c r="AF42" i="44"/>
  <c r="V37" i="44"/>
  <c r="W37" i="44"/>
  <c r="X37" i="44"/>
  <c r="Y37" i="44"/>
  <c r="Z37" i="44"/>
  <c r="AA37" i="44"/>
  <c r="AB37" i="44"/>
  <c r="AC37" i="44"/>
  <c r="AD37" i="44"/>
  <c r="AF30" i="44"/>
  <c r="V25" i="44"/>
  <c r="W25" i="44"/>
  <c r="X25" i="44"/>
  <c r="Y25" i="44"/>
  <c r="Z25" i="44"/>
  <c r="AA25" i="44"/>
  <c r="AB25" i="44"/>
  <c r="AC25" i="44"/>
  <c r="AD25" i="44"/>
  <c r="AF27" i="44"/>
  <c r="V15" i="44"/>
  <c r="W15" i="44"/>
  <c r="X15" i="44"/>
  <c r="Y15" i="44"/>
  <c r="Z15" i="44"/>
  <c r="AA15" i="44"/>
  <c r="AB15" i="44"/>
  <c r="AC15" i="44"/>
  <c r="AD15" i="44"/>
  <c r="AF17" i="44"/>
  <c r="V12" i="44"/>
  <c r="W12" i="44"/>
  <c r="X12" i="44"/>
  <c r="Y12" i="44"/>
  <c r="Z12" i="44"/>
  <c r="AA12" i="44"/>
  <c r="AB12" i="44"/>
  <c r="AC12" i="44"/>
  <c r="AD12" i="44"/>
  <c r="AV52" i="44"/>
  <c r="DR52" i="44"/>
  <c r="AV16" i="44"/>
  <c r="DR16" i="44"/>
  <c r="AV37" i="44"/>
  <c r="DR37" i="44"/>
  <c r="AU20" i="44"/>
  <c r="DQ20" i="44"/>
  <c r="AU40" i="44"/>
  <c r="DQ40" i="44"/>
  <c r="AU25" i="44"/>
  <c r="DQ25" i="44"/>
  <c r="Q16" i="44"/>
  <c r="R16" i="44"/>
  <c r="S16" i="44"/>
  <c r="T16" i="44"/>
  <c r="L16" i="44"/>
  <c r="M16" i="44"/>
  <c r="N16" i="44"/>
  <c r="O16" i="44"/>
  <c r="AU11" i="44"/>
  <c r="DQ11" i="44"/>
  <c r="AU66" i="44"/>
  <c r="DQ66" i="44"/>
  <c r="Q21" i="44"/>
  <c r="R21" i="44"/>
  <c r="S21" i="44"/>
  <c r="T21" i="44"/>
  <c r="L21" i="44"/>
  <c r="M21" i="44"/>
  <c r="N21" i="44"/>
  <c r="O21" i="44"/>
  <c r="R31" i="44"/>
  <c r="S31" i="44"/>
  <c r="T31" i="44"/>
  <c r="Q30" i="44"/>
  <c r="R30" i="44"/>
  <c r="S30" i="44"/>
  <c r="T30" i="44"/>
  <c r="AU60" i="44"/>
  <c r="DQ60" i="44"/>
  <c r="AU50" i="44"/>
  <c r="DQ50" i="44"/>
  <c r="L25" i="44"/>
  <c r="M25" i="44"/>
  <c r="N25" i="44"/>
  <c r="O25" i="44"/>
  <c r="AV42" i="44"/>
  <c r="DR42" i="44"/>
  <c r="AV57" i="44"/>
  <c r="DR57" i="44"/>
  <c r="AV41" i="44"/>
  <c r="DR41" i="44"/>
  <c r="AV56" i="44"/>
  <c r="DR56" i="44"/>
  <c r="AU22" i="44"/>
  <c r="DQ22" i="44"/>
  <c r="AU21" i="44"/>
  <c r="DQ21" i="44"/>
  <c r="AU27" i="44"/>
  <c r="DQ27" i="44"/>
  <c r="AF36" i="44"/>
  <c r="AF25" i="44"/>
  <c r="C12" i="44"/>
  <c r="A11" i="44"/>
  <c r="C28" i="44"/>
  <c r="A28" i="44"/>
  <c r="A27" i="44"/>
  <c r="C47" i="44"/>
  <c r="A46" i="44"/>
  <c r="C37" i="44"/>
  <c r="A36" i="44"/>
  <c r="C22" i="44"/>
  <c r="A21" i="44"/>
  <c r="C7" i="44"/>
  <c r="A6" i="44"/>
  <c r="C52" i="44"/>
  <c r="A51" i="44"/>
  <c r="C42" i="44"/>
  <c r="A41" i="44"/>
  <c r="C32" i="44"/>
  <c r="A31" i="44"/>
  <c r="C62" i="44"/>
  <c r="A61" i="44"/>
  <c r="C67" i="44"/>
  <c r="A66" i="44"/>
  <c r="I35" i="43"/>
  <c r="I31" i="43"/>
  <c r="U6" i="43"/>
  <c r="AV27" i="44"/>
  <c r="DR27" i="44"/>
  <c r="AV22" i="44"/>
  <c r="DR22" i="44"/>
  <c r="AW41" i="44"/>
  <c r="DS41" i="44"/>
  <c r="AW42" i="44"/>
  <c r="DS42" i="44"/>
  <c r="AV50" i="44"/>
  <c r="DR50" i="44"/>
  <c r="AV66" i="44"/>
  <c r="DR66" i="44"/>
  <c r="DR25" i="44"/>
  <c r="AV25" i="44"/>
  <c r="AV20" i="44"/>
  <c r="DR20" i="44"/>
  <c r="BE59" i="44"/>
  <c r="CC59" i="44"/>
  <c r="DB59" i="44"/>
  <c r="BE34" i="44"/>
  <c r="CC34" i="44"/>
  <c r="DB34" i="44"/>
  <c r="BE54" i="44"/>
  <c r="CC54" i="44"/>
  <c r="DB54" i="44"/>
  <c r="BE19" i="44"/>
  <c r="CC19" i="44"/>
  <c r="DB19" i="44"/>
  <c r="BE39" i="44"/>
  <c r="CC39" i="44"/>
  <c r="DB39" i="44"/>
  <c r="BE24" i="44"/>
  <c r="CC24" i="44"/>
  <c r="DB24" i="44"/>
  <c r="BE49" i="44"/>
  <c r="CC49" i="44"/>
  <c r="DB49" i="44"/>
  <c r="BE44" i="44"/>
  <c r="CC44" i="44"/>
  <c r="DB44" i="44"/>
  <c r="BE64" i="44"/>
  <c r="CC64" i="44"/>
  <c r="DB64" i="44"/>
  <c r="BE29" i="44"/>
  <c r="CC29" i="44"/>
  <c r="DB29" i="44"/>
  <c r="AV12" i="44"/>
  <c r="DR12" i="44"/>
  <c r="AV10" i="44"/>
  <c r="DR10" i="44"/>
  <c r="AV35" i="44"/>
  <c r="DR35" i="44"/>
  <c r="AV15" i="44"/>
  <c r="DR15" i="44"/>
  <c r="AV32" i="44"/>
  <c r="DR32" i="44"/>
  <c r="AV36" i="44"/>
  <c r="DR36" i="44"/>
  <c r="AV31" i="44"/>
  <c r="DR31" i="44"/>
  <c r="AV55" i="44"/>
  <c r="DR55" i="44"/>
  <c r="AW65" i="44"/>
  <c r="DS65" i="44"/>
  <c r="AW46" i="44"/>
  <c r="DS46" i="44"/>
  <c r="AW51" i="44"/>
  <c r="DS51" i="44"/>
  <c r="AV21" i="44"/>
  <c r="DR21" i="44"/>
  <c r="AW56" i="44"/>
  <c r="DS56" i="44"/>
  <c r="AW57" i="44"/>
  <c r="DS57" i="44"/>
  <c r="AV60" i="44"/>
  <c r="DR60" i="44"/>
  <c r="AV11" i="44"/>
  <c r="DR11" i="44"/>
  <c r="AV40" i="44"/>
  <c r="DR40" i="44"/>
  <c r="AW37" i="44"/>
  <c r="DS37" i="44"/>
  <c r="AW16" i="44"/>
  <c r="DS16" i="44"/>
  <c r="AW52" i="44"/>
  <c r="DS52" i="44"/>
  <c r="AW45" i="44"/>
  <c r="DS45" i="44"/>
  <c r="AW5" i="44"/>
  <c r="DS5" i="44"/>
  <c r="DB4" i="44"/>
  <c r="DB70" i="44"/>
  <c r="CC2" i="44"/>
  <c r="BF4" i="44"/>
  <c r="EB4" i="44"/>
  <c r="CD4" i="44"/>
  <c r="AV30" i="44"/>
  <c r="DR30" i="44"/>
  <c r="AV26" i="44"/>
  <c r="DR26" i="44"/>
  <c r="AV17" i="44"/>
  <c r="DR17" i="44"/>
  <c r="AW47" i="44"/>
  <c r="DS47" i="44"/>
  <c r="AV7" i="44"/>
  <c r="DR7" i="44"/>
  <c r="AW6" i="44"/>
  <c r="DS6" i="44"/>
  <c r="AW67" i="44"/>
  <c r="DS67" i="44"/>
  <c r="AW61" i="44"/>
  <c r="DS61" i="44"/>
  <c r="AW62" i="44"/>
  <c r="DS62" i="44"/>
  <c r="C33" i="44"/>
  <c r="A33" i="44"/>
  <c r="A32" i="44"/>
  <c r="C43" i="44"/>
  <c r="A43" i="44"/>
  <c r="A42" i="44"/>
  <c r="C53" i="44"/>
  <c r="A52" i="44"/>
  <c r="C8" i="44"/>
  <c r="A8" i="44"/>
  <c r="A7" i="44"/>
  <c r="C23" i="44"/>
  <c r="A23" i="44"/>
  <c r="A22" i="44"/>
  <c r="C38" i="44"/>
  <c r="A38" i="44"/>
  <c r="A37" i="44"/>
  <c r="C48" i="44"/>
  <c r="A48" i="44"/>
  <c r="A47" i="44"/>
  <c r="C13" i="44"/>
  <c r="A12" i="44"/>
  <c r="C63" i="44"/>
  <c r="A63" i="44"/>
  <c r="A62" i="44"/>
  <c r="C68" i="44"/>
  <c r="A68" i="44"/>
  <c r="A67" i="44"/>
  <c r="I32" i="43"/>
  <c r="U8" i="43"/>
  <c r="U7" i="43"/>
  <c r="AX62" i="44"/>
  <c r="DT62" i="44"/>
  <c r="AX61" i="44"/>
  <c r="DT61" i="44"/>
  <c r="AX67" i="44"/>
  <c r="DT67" i="44"/>
  <c r="AX6" i="44"/>
  <c r="DT6" i="44"/>
  <c r="AW7" i="44"/>
  <c r="DS7" i="44"/>
  <c r="AX47" i="44"/>
  <c r="DT47" i="44"/>
  <c r="AW17" i="44"/>
  <c r="DS17" i="44"/>
  <c r="AW26" i="44"/>
  <c r="DS26" i="44"/>
  <c r="AW30" i="44"/>
  <c r="DS30" i="44"/>
  <c r="AX5" i="44"/>
  <c r="DT5" i="44"/>
  <c r="AX52" i="44"/>
  <c r="DT52" i="44"/>
  <c r="AX16" i="44"/>
  <c r="DT16" i="44"/>
  <c r="AX37" i="44"/>
  <c r="DT37" i="44"/>
  <c r="AW40" i="44"/>
  <c r="DS40" i="44"/>
  <c r="AW11" i="44"/>
  <c r="DS11" i="44"/>
  <c r="AX56" i="44"/>
  <c r="DT56" i="44"/>
  <c r="AX51" i="44"/>
  <c r="DT51" i="44"/>
  <c r="AX46" i="44"/>
  <c r="DT46" i="44"/>
  <c r="AX65" i="44"/>
  <c r="DT65" i="44"/>
  <c r="AW55" i="44"/>
  <c r="DS55" i="44"/>
  <c r="AW31" i="44"/>
  <c r="DS31" i="44"/>
  <c r="AW36" i="44"/>
  <c r="DS36" i="44"/>
  <c r="AW32" i="44"/>
  <c r="DS32" i="44"/>
  <c r="AW15" i="44"/>
  <c r="DS15" i="44"/>
  <c r="AW35" i="44"/>
  <c r="DS35" i="44"/>
  <c r="AW10" i="44"/>
  <c r="DS10" i="44"/>
  <c r="AW20" i="44"/>
  <c r="DS20" i="44"/>
  <c r="AW25" i="44"/>
  <c r="DS25" i="44"/>
  <c r="AW66" i="44"/>
  <c r="DS66" i="44"/>
  <c r="AX41" i="44"/>
  <c r="DT41" i="44"/>
  <c r="AW27" i="44"/>
  <c r="DS27" i="44"/>
  <c r="DC4" i="44"/>
  <c r="DC70" i="44"/>
  <c r="CD2" i="44"/>
  <c r="BG4" i="44"/>
  <c r="EC4" i="44"/>
  <c r="CE4" i="44"/>
  <c r="AX45" i="44"/>
  <c r="DT45" i="44"/>
  <c r="AW60" i="44"/>
  <c r="DS60" i="44"/>
  <c r="AX57" i="44"/>
  <c r="DT57" i="44"/>
  <c r="AW21" i="44"/>
  <c r="DS21" i="44"/>
  <c r="AW12" i="44"/>
  <c r="DS12" i="44"/>
  <c r="BF29" i="44"/>
  <c r="CD29" i="44"/>
  <c r="DC29" i="44"/>
  <c r="BF64" i="44"/>
  <c r="CD64" i="44"/>
  <c r="DC64" i="44"/>
  <c r="BF44" i="44"/>
  <c r="CD44" i="44"/>
  <c r="DC44" i="44"/>
  <c r="BF49" i="44"/>
  <c r="CD49" i="44"/>
  <c r="DC49" i="44"/>
  <c r="BF24" i="44"/>
  <c r="CD24" i="44"/>
  <c r="DC24" i="44"/>
  <c r="BF39" i="44"/>
  <c r="CD39" i="44"/>
  <c r="DC39" i="44"/>
  <c r="BF19" i="44"/>
  <c r="CD19" i="44"/>
  <c r="DC19" i="44"/>
  <c r="BF54" i="44"/>
  <c r="CD54" i="44"/>
  <c r="DC54" i="44"/>
  <c r="BF34" i="44"/>
  <c r="CD34" i="44"/>
  <c r="DC34" i="44"/>
  <c r="BF59" i="44"/>
  <c r="CD59" i="44"/>
  <c r="DC59" i="44"/>
  <c r="AW50" i="44"/>
  <c r="DS50" i="44"/>
  <c r="AX42" i="44"/>
  <c r="DT42" i="44"/>
  <c r="AW22" i="44"/>
  <c r="DS22" i="44"/>
  <c r="C54" i="44"/>
  <c r="A53" i="44"/>
  <c r="C14" i="44"/>
  <c r="A13" i="44"/>
  <c r="N163" i="26"/>
  <c r="N158" i="26"/>
  <c r="N109" i="26"/>
  <c r="N104" i="26"/>
  <c r="N91" i="26"/>
  <c r="N86" i="26"/>
  <c r="N73" i="26"/>
  <c r="N68" i="26"/>
  <c r="BG34" i="44"/>
  <c r="CE34" i="44"/>
  <c r="DD34" i="44"/>
  <c r="BG54" i="44"/>
  <c r="CE54" i="44"/>
  <c r="DD54" i="44"/>
  <c r="BG39" i="44"/>
  <c r="CE39" i="44"/>
  <c r="DD39" i="44"/>
  <c r="BG49" i="44"/>
  <c r="CE49" i="44"/>
  <c r="DD49" i="44"/>
  <c r="AX21" i="44"/>
  <c r="DT21" i="44"/>
  <c r="AX60" i="44"/>
  <c r="DT60" i="44"/>
  <c r="AY41" i="44"/>
  <c r="DU41" i="44"/>
  <c r="AY42" i="44"/>
  <c r="DU42" i="44"/>
  <c r="AX12" i="44"/>
  <c r="DT12" i="44"/>
  <c r="AY57" i="44"/>
  <c r="DU57" i="44"/>
  <c r="DD4" i="44"/>
  <c r="DD70" i="44"/>
  <c r="CE2" i="44"/>
  <c r="BH4" i="44"/>
  <c r="ED4" i="44"/>
  <c r="CF4" i="44"/>
  <c r="AX27" i="44"/>
  <c r="DT27" i="44"/>
  <c r="AX66" i="44"/>
  <c r="DT66" i="44"/>
  <c r="AX20" i="44"/>
  <c r="DT20" i="44"/>
  <c r="AX35" i="44"/>
  <c r="DT35" i="44"/>
  <c r="AX32" i="44"/>
  <c r="DT32" i="44"/>
  <c r="AX31" i="44"/>
  <c r="DT31" i="44"/>
  <c r="AY65" i="44"/>
  <c r="DU65" i="44"/>
  <c r="AY51" i="44"/>
  <c r="DU51" i="44"/>
  <c r="AX11" i="44"/>
  <c r="DT11" i="44"/>
  <c r="AY37" i="44"/>
  <c r="DU37" i="44"/>
  <c r="AX30" i="44"/>
  <c r="DT30" i="44"/>
  <c r="AX17" i="44"/>
  <c r="DT17" i="44"/>
  <c r="AX7" i="44"/>
  <c r="DT7" i="44"/>
  <c r="AY67" i="44"/>
  <c r="DU67" i="44"/>
  <c r="AY62" i="44"/>
  <c r="DU62" i="44"/>
  <c r="AX22" i="44"/>
  <c r="DT22" i="44"/>
  <c r="AX50" i="44"/>
  <c r="DT50" i="44"/>
  <c r="BG59" i="44"/>
  <c r="CE59" i="44"/>
  <c r="DD59" i="44"/>
  <c r="BG19" i="44"/>
  <c r="CE19" i="44"/>
  <c r="DD19" i="44"/>
  <c r="BG24" i="44"/>
  <c r="CE24" i="44"/>
  <c r="DD24" i="44"/>
  <c r="BG44" i="44"/>
  <c r="CE44" i="44"/>
  <c r="DD44" i="44"/>
  <c r="BG64" i="44"/>
  <c r="CE64" i="44"/>
  <c r="DD64" i="44"/>
  <c r="BG29" i="44"/>
  <c r="CE29" i="44"/>
  <c r="DD29" i="44"/>
  <c r="AY45" i="44"/>
  <c r="DU45" i="44"/>
  <c r="AX25" i="44"/>
  <c r="DT25" i="44"/>
  <c r="AX10" i="44"/>
  <c r="DT10" i="44"/>
  <c r="AX15" i="44"/>
  <c r="DT15" i="44"/>
  <c r="AX36" i="44"/>
  <c r="DT36" i="44"/>
  <c r="AX55" i="44"/>
  <c r="DT55" i="44"/>
  <c r="AY46" i="44"/>
  <c r="DU46" i="44"/>
  <c r="AY56" i="44"/>
  <c r="DU56" i="44"/>
  <c r="AX40" i="44"/>
  <c r="DT40" i="44"/>
  <c r="AY16" i="44"/>
  <c r="DU16" i="44"/>
  <c r="AY52" i="44"/>
  <c r="DU52" i="44"/>
  <c r="AY5" i="44"/>
  <c r="DU5" i="44"/>
  <c r="AX26" i="44"/>
  <c r="DT26" i="44"/>
  <c r="AY47" i="44"/>
  <c r="DU47" i="44"/>
  <c r="AY6" i="44"/>
  <c r="DU6" i="44"/>
  <c r="AY61" i="44"/>
  <c r="DU61" i="44"/>
  <c r="A14" i="44"/>
  <c r="BO15" i="44"/>
  <c r="C15" i="44"/>
  <c r="A54" i="44"/>
  <c r="BO55" i="44"/>
  <c r="C55" i="44"/>
  <c r="D168" i="26"/>
  <c r="E168" i="26"/>
  <c r="D169" i="26"/>
  <c r="E169" i="26"/>
  <c r="D170" i="26"/>
  <c r="E170" i="26"/>
  <c r="D171" i="26"/>
  <c r="E171" i="26"/>
  <c r="D172" i="26"/>
  <c r="E172" i="26"/>
  <c r="D173" i="26"/>
  <c r="E173" i="26"/>
  <c r="D174" i="26"/>
  <c r="E174" i="26"/>
  <c r="D175" i="26"/>
  <c r="E175" i="26"/>
  <c r="D176" i="26"/>
  <c r="E176" i="26"/>
  <c r="D177" i="26"/>
  <c r="E177" i="26"/>
  <c r="D178" i="26"/>
  <c r="E178" i="26"/>
  <c r="D179" i="26"/>
  <c r="E179" i="26"/>
  <c r="D180" i="26"/>
  <c r="E180" i="26"/>
  <c r="D181" i="26"/>
  <c r="E181" i="26"/>
  <c r="E167" i="26"/>
  <c r="D167" i="26"/>
  <c r="X46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Z61" i="44"/>
  <c r="DW61" i="44"/>
  <c r="DV61" i="44"/>
  <c r="AZ6" i="44"/>
  <c r="DW6" i="44"/>
  <c r="DV6" i="44"/>
  <c r="AZ47" i="44"/>
  <c r="DW47" i="44"/>
  <c r="DV47" i="44"/>
  <c r="DU26" i="44"/>
  <c r="AY26" i="44"/>
  <c r="AZ5" i="44"/>
  <c r="DW5" i="44"/>
  <c r="DV5" i="44"/>
  <c r="AY25" i="44"/>
  <c r="DU25" i="44"/>
  <c r="AZ37" i="44"/>
  <c r="DW37" i="44"/>
  <c r="DV37" i="44"/>
  <c r="AY11" i="44"/>
  <c r="DU11" i="44"/>
  <c r="AZ51" i="44"/>
  <c r="DW51" i="44"/>
  <c r="DV51" i="44"/>
  <c r="AZ65" i="44"/>
  <c r="DW65" i="44"/>
  <c r="DV65" i="44"/>
  <c r="AY31" i="44"/>
  <c r="DU31" i="44"/>
  <c r="AY32" i="44"/>
  <c r="DU32" i="44"/>
  <c r="DU35" i="44"/>
  <c r="AY35" i="44"/>
  <c r="DE4" i="44"/>
  <c r="DE70" i="44"/>
  <c r="CF2" i="44"/>
  <c r="BI4" i="44"/>
  <c r="EE4" i="44"/>
  <c r="CG4" i="44"/>
  <c r="AZ57" i="44"/>
  <c r="DW57" i="44"/>
  <c r="DV57" i="44"/>
  <c r="AY12" i="44"/>
  <c r="DU12" i="44"/>
  <c r="AZ42" i="44"/>
  <c r="DW42" i="44"/>
  <c r="DV42" i="44"/>
  <c r="BH49" i="44"/>
  <c r="CF49" i="44"/>
  <c r="DE49" i="44"/>
  <c r="BH39" i="44"/>
  <c r="CF39" i="44"/>
  <c r="DE39" i="44"/>
  <c r="BH54" i="44"/>
  <c r="CF54" i="44"/>
  <c r="DE54" i="44"/>
  <c r="BH34" i="44"/>
  <c r="CF34" i="44"/>
  <c r="DE34" i="44"/>
  <c r="AZ52" i="44"/>
  <c r="DW52" i="44"/>
  <c r="DV52" i="44"/>
  <c r="AZ16" i="44"/>
  <c r="DW16" i="44"/>
  <c r="DV16" i="44"/>
  <c r="AY40" i="44"/>
  <c r="DU40" i="44"/>
  <c r="AZ56" i="44"/>
  <c r="DW56" i="44"/>
  <c r="DV56" i="44"/>
  <c r="AZ46" i="44"/>
  <c r="DW46" i="44"/>
  <c r="DV46" i="44"/>
  <c r="AY55" i="44"/>
  <c r="DU55" i="44"/>
  <c r="AY36" i="44"/>
  <c r="DU36" i="44"/>
  <c r="AY15" i="44"/>
  <c r="DU15" i="44"/>
  <c r="AY10" i="44"/>
  <c r="DU10" i="44"/>
  <c r="AZ45" i="44"/>
  <c r="DW45" i="44"/>
  <c r="DV45" i="44"/>
  <c r="BH29" i="44"/>
  <c r="CF29" i="44"/>
  <c r="DE29" i="44"/>
  <c r="BH64" i="44"/>
  <c r="CF64" i="44"/>
  <c r="DE64" i="44"/>
  <c r="BH44" i="44"/>
  <c r="CF44" i="44"/>
  <c r="DE44" i="44"/>
  <c r="BH24" i="44"/>
  <c r="CF24" i="44"/>
  <c r="DE24" i="44"/>
  <c r="BH19" i="44"/>
  <c r="CF19" i="44"/>
  <c r="DE19" i="44"/>
  <c r="BH59" i="44"/>
  <c r="CF59" i="44"/>
  <c r="DE59" i="44"/>
  <c r="AY50" i="44"/>
  <c r="DU50" i="44"/>
  <c r="AY22" i="44"/>
  <c r="DU22" i="44"/>
  <c r="AZ62" i="44"/>
  <c r="DW62" i="44"/>
  <c r="DV62" i="44"/>
  <c r="AZ67" i="44"/>
  <c r="DW67" i="44"/>
  <c r="DV67" i="44"/>
  <c r="AY7" i="44"/>
  <c r="DU7" i="44"/>
  <c r="AY17" i="44"/>
  <c r="DU17" i="44"/>
  <c r="AY30" i="44"/>
  <c r="DU30" i="44"/>
  <c r="AY20" i="44"/>
  <c r="DU20" i="44"/>
  <c r="AY66" i="44"/>
  <c r="DU66" i="44"/>
  <c r="DU27" i="44"/>
  <c r="AY27" i="44"/>
  <c r="AZ41" i="44"/>
  <c r="DV41" i="44"/>
  <c r="AY60" i="44"/>
  <c r="DU60" i="44"/>
  <c r="AY21" i="44"/>
  <c r="DU21" i="44"/>
  <c r="C16" i="44"/>
  <c r="A15" i="44"/>
  <c r="A55" i="44"/>
  <c r="C56" i="44"/>
  <c r="X38" i="26"/>
  <c r="DW41" i="44"/>
  <c r="AZ20" i="44"/>
  <c r="DV20" i="44"/>
  <c r="AZ21" i="44"/>
  <c r="DW21" i="44"/>
  <c r="DV21" i="44"/>
  <c r="AZ27" i="44"/>
  <c r="DV27" i="44"/>
  <c r="AZ66" i="44"/>
  <c r="DV66" i="44"/>
  <c r="AZ17" i="44"/>
  <c r="DV17" i="44"/>
  <c r="AZ22" i="44"/>
  <c r="DV22" i="44"/>
  <c r="AZ15" i="44"/>
  <c r="DV15" i="44"/>
  <c r="AZ55" i="44"/>
  <c r="DV55" i="44"/>
  <c r="BI34" i="44"/>
  <c r="CG34" i="44"/>
  <c r="DF34" i="44"/>
  <c r="BI54" i="44"/>
  <c r="CG54" i="44"/>
  <c r="DF54" i="44"/>
  <c r="BI39" i="44"/>
  <c r="CG39" i="44"/>
  <c r="DF39" i="44"/>
  <c r="BI49" i="44"/>
  <c r="CG49" i="44"/>
  <c r="DF49" i="44"/>
  <c r="AZ12" i="44"/>
  <c r="DV12" i="44"/>
  <c r="AZ31" i="44"/>
  <c r="DV31" i="44"/>
  <c r="AZ25" i="44"/>
  <c r="DV25" i="44"/>
  <c r="AZ26" i="44"/>
  <c r="DV26" i="44"/>
  <c r="AZ60" i="44"/>
  <c r="DV60" i="44"/>
  <c r="AZ30" i="44"/>
  <c r="DV30" i="44"/>
  <c r="AZ7" i="44"/>
  <c r="DV7" i="44"/>
  <c r="AZ50" i="44"/>
  <c r="DV50" i="44"/>
  <c r="BI59" i="44"/>
  <c r="CG59" i="44"/>
  <c r="DF59" i="44"/>
  <c r="BI19" i="44"/>
  <c r="CG19" i="44"/>
  <c r="DF19" i="44"/>
  <c r="BI24" i="44"/>
  <c r="CG24" i="44"/>
  <c r="DF24" i="44"/>
  <c r="BI44" i="44"/>
  <c r="CG44" i="44"/>
  <c r="DF44" i="44"/>
  <c r="BI64" i="44"/>
  <c r="CG64" i="44"/>
  <c r="DF64" i="44"/>
  <c r="BI29" i="44"/>
  <c r="CG29" i="44"/>
  <c r="DF29" i="44"/>
  <c r="AZ10" i="44"/>
  <c r="DV10" i="44"/>
  <c r="AZ36" i="44"/>
  <c r="DV36" i="44"/>
  <c r="AZ40" i="44"/>
  <c r="DV40" i="44"/>
  <c r="DF4" i="44"/>
  <c r="DF70" i="44"/>
  <c r="CG2" i="44"/>
  <c r="BJ4" i="44"/>
  <c r="EF4" i="44"/>
  <c r="CH4" i="44"/>
  <c r="AZ35" i="44"/>
  <c r="DW35" i="44"/>
  <c r="DV35" i="44"/>
  <c r="AZ32" i="44"/>
  <c r="DV32" i="44"/>
  <c r="AZ11" i="44"/>
  <c r="DV11" i="44"/>
  <c r="C17" i="44"/>
  <c r="A16" i="44"/>
  <c r="A56" i="44"/>
  <c r="C57" i="44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21" i="26"/>
  <c r="P185" i="26"/>
  <c r="P59" i="26"/>
  <c r="P5" i="26"/>
  <c r="Y1" i="26"/>
  <c r="AJ5" i="44" s="1"/>
  <c r="P113" i="26"/>
  <c r="BK4" i="44"/>
  <c r="EG4" i="44"/>
  <c r="CI4" i="44"/>
  <c r="DW36" i="44"/>
  <c r="BJ29" i="44"/>
  <c r="CH29" i="44"/>
  <c r="DG29" i="44"/>
  <c r="BJ44" i="44"/>
  <c r="CH44" i="44"/>
  <c r="DG44" i="44"/>
  <c r="BJ19" i="44"/>
  <c r="CH19" i="44"/>
  <c r="DG19" i="44"/>
  <c r="BJ59" i="44"/>
  <c r="CH59" i="44"/>
  <c r="DG59" i="44"/>
  <c r="DW11" i="44"/>
  <c r="DW32" i="44"/>
  <c r="DW7" i="44"/>
  <c r="DW30" i="44"/>
  <c r="DW60" i="44"/>
  <c r="DW26" i="44"/>
  <c r="DW25" i="44"/>
  <c r="DW31" i="44"/>
  <c r="DW12" i="44"/>
  <c r="BJ49" i="44"/>
  <c r="CH49" i="44"/>
  <c r="DG49" i="44"/>
  <c r="BJ39" i="44"/>
  <c r="CH39" i="44"/>
  <c r="DG39" i="44"/>
  <c r="BJ54" i="44"/>
  <c r="CH54" i="44"/>
  <c r="DG54" i="44"/>
  <c r="BJ34" i="44"/>
  <c r="CH34" i="44"/>
  <c r="DG34" i="44"/>
  <c r="DW55" i="44"/>
  <c r="DW15" i="44"/>
  <c r="DW22" i="44"/>
  <c r="DW17" i="44"/>
  <c r="DG4" i="44"/>
  <c r="DG70" i="44"/>
  <c r="CH2" i="44"/>
  <c r="DW40" i="44"/>
  <c r="DW10" i="44"/>
  <c r="BJ64" i="44"/>
  <c r="CH64" i="44"/>
  <c r="DG64" i="44"/>
  <c r="BJ24" i="44"/>
  <c r="CH24" i="44"/>
  <c r="DG24" i="44"/>
  <c r="DW50" i="44"/>
  <c r="DW66" i="44"/>
  <c r="DW27" i="44"/>
  <c r="DW20" i="44"/>
  <c r="A57" i="44"/>
  <c r="C58" i="44"/>
  <c r="A58" i="44"/>
  <c r="C18" i="44"/>
  <c r="A18" i="44"/>
  <c r="A17" i="44"/>
  <c r="B1" i="8"/>
  <c r="C1" i="8"/>
  <c r="D1" i="8"/>
  <c r="E1" i="8"/>
  <c r="F1" i="8"/>
  <c r="G1" i="8"/>
  <c r="H1" i="8"/>
  <c r="I1" i="8"/>
  <c r="J1" i="8"/>
  <c r="K1" i="8"/>
  <c r="L1" i="8"/>
  <c r="M1" i="8"/>
  <c r="N1" i="8"/>
  <c r="O1" i="8"/>
  <c r="BK24" i="44"/>
  <c r="CI24" i="44"/>
  <c r="DH24" i="44"/>
  <c r="BK64" i="44"/>
  <c r="CI64" i="44"/>
  <c r="DH64" i="44"/>
  <c r="DH4" i="44"/>
  <c r="DH70" i="44"/>
  <c r="CI2" i="44"/>
  <c r="EH4" i="44"/>
  <c r="CJ4" i="44"/>
  <c r="BL62" i="44"/>
  <c r="EI62" i="44"/>
  <c r="BL55" i="44"/>
  <c r="EI55" i="44"/>
  <c r="BL60" i="44"/>
  <c r="EI60" i="44"/>
  <c r="BB42" i="44"/>
  <c r="BB32" i="44"/>
  <c r="BB30" i="44"/>
  <c r="BB20" i="44"/>
  <c r="BL4" i="44"/>
  <c r="BL6" i="44"/>
  <c r="EI6" i="44"/>
  <c r="BL41" i="44"/>
  <c r="EI41" i="44"/>
  <c r="BL26" i="44"/>
  <c r="EI26" i="44"/>
  <c r="BB36" i="44"/>
  <c r="BL46" i="44"/>
  <c r="EI46" i="44"/>
  <c r="BL57" i="44"/>
  <c r="EI57" i="44"/>
  <c r="BL10" i="44"/>
  <c r="EI10" i="44"/>
  <c r="BL15" i="44"/>
  <c r="EI15" i="44"/>
  <c r="BL27" i="44"/>
  <c r="EI27" i="44"/>
  <c r="BB37" i="44"/>
  <c r="BL47" i="44"/>
  <c r="EI47" i="44"/>
  <c r="BB67" i="44"/>
  <c r="BB62" i="44"/>
  <c r="BC62" i="44"/>
  <c r="BB57" i="44"/>
  <c r="BB55" i="44"/>
  <c r="BC55" i="44"/>
  <c r="BB51" i="44"/>
  <c r="BB50" i="44"/>
  <c r="BB60" i="44"/>
  <c r="BL42" i="44"/>
  <c r="EI42" i="44"/>
  <c r="BL40" i="44"/>
  <c r="EI40" i="44"/>
  <c r="BL32" i="44"/>
  <c r="EI32" i="44"/>
  <c r="BL31" i="44"/>
  <c r="EI31" i="44"/>
  <c r="BL30" i="44"/>
  <c r="EI30" i="44"/>
  <c r="BL22" i="44"/>
  <c r="EI22" i="44"/>
  <c r="BL21" i="44"/>
  <c r="EI21" i="44"/>
  <c r="BL20" i="44"/>
  <c r="EI20" i="44"/>
  <c r="BB41" i="44"/>
  <c r="BC41" i="44"/>
  <c r="BB11" i="44"/>
  <c r="BB12" i="44"/>
  <c r="BC12" i="44"/>
  <c r="BL5" i="44"/>
  <c r="EI5" i="44"/>
  <c r="BL7" i="44"/>
  <c r="EI7" i="44"/>
  <c r="BB16" i="44"/>
  <c r="BB6" i="44"/>
  <c r="BB17" i="44"/>
  <c r="BC11" i="44"/>
  <c r="BB25" i="44"/>
  <c r="BB27" i="44"/>
  <c r="BL37" i="44"/>
  <c r="EI37" i="44"/>
  <c r="BL56" i="44"/>
  <c r="EI56" i="44"/>
  <c r="BB45" i="44"/>
  <c r="BB47" i="44"/>
  <c r="BL61" i="44"/>
  <c r="EI61" i="44"/>
  <c r="BL65" i="44"/>
  <c r="EI65" i="44"/>
  <c r="BB66" i="44"/>
  <c r="BL16" i="44"/>
  <c r="EI16" i="44"/>
  <c r="BB7" i="44"/>
  <c r="BL17" i="44"/>
  <c r="EI17" i="44"/>
  <c r="BB26" i="44"/>
  <c r="BC30" i="44"/>
  <c r="BB35" i="44"/>
  <c r="BL36" i="44"/>
  <c r="EI36" i="44"/>
  <c r="BB46" i="44"/>
  <c r="BC50" i="44"/>
  <c r="BB52" i="44"/>
  <c r="BB65" i="44"/>
  <c r="BL66" i="44"/>
  <c r="EI66" i="44"/>
  <c r="BB61" i="44"/>
  <c r="BL51" i="44"/>
  <c r="EI51" i="44"/>
  <c r="BL50" i="44"/>
  <c r="EI50" i="44"/>
  <c r="BB56" i="44"/>
  <c r="BC56" i="44"/>
  <c r="BB40" i="44"/>
  <c r="BB31" i="44"/>
  <c r="BB22" i="44"/>
  <c r="BB21" i="44"/>
  <c r="BL11" i="44"/>
  <c r="EI11" i="44"/>
  <c r="BB10" i="44"/>
  <c r="BL12" i="44"/>
  <c r="EI12" i="44"/>
  <c r="BB15" i="44"/>
  <c r="BL35" i="44"/>
  <c r="EI35" i="44"/>
  <c r="BL52" i="44"/>
  <c r="EI52" i="44"/>
  <c r="BL67" i="44"/>
  <c r="EI67" i="44"/>
  <c r="BB5" i="44"/>
  <c r="BL25" i="44"/>
  <c r="EI25" i="44"/>
  <c r="BC32" i="44"/>
  <c r="BL45" i="44"/>
  <c r="EI45" i="44"/>
  <c r="BC51" i="44"/>
  <c r="BC57" i="44"/>
  <c r="BC60" i="44"/>
  <c r="BC45" i="44"/>
  <c r="BK34" i="44"/>
  <c r="CI34" i="44"/>
  <c r="DH34" i="44"/>
  <c r="BK54" i="44"/>
  <c r="CI54" i="44"/>
  <c r="DH54" i="44"/>
  <c r="BK39" i="44"/>
  <c r="CI39" i="44"/>
  <c r="DH39" i="44"/>
  <c r="BK49" i="44"/>
  <c r="CI49" i="44"/>
  <c r="DH49" i="44"/>
  <c r="BK59" i="44"/>
  <c r="CI59" i="44"/>
  <c r="DH59" i="44"/>
  <c r="BK19" i="44"/>
  <c r="CI19" i="44"/>
  <c r="DH19" i="44"/>
  <c r="BK44" i="44"/>
  <c r="CI44" i="44"/>
  <c r="DH44" i="44"/>
  <c r="BK29" i="44"/>
  <c r="CI29" i="44"/>
  <c r="DH29" i="44"/>
  <c r="BD55" i="44"/>
  <c r="DZ55" i="44"/>
  <c r="BD62" i="44"/>
  <c r="DZ62" i="44"/>
  <c r="BD45" i="44"/>
  <c r="DZ45" i="44"/>
  <c r="BD12" i="44"/>
  <c r="DZ12" i="44"/>
  <c r="BC22" i="44"/>
  <c r="DY22" i="44"/>
  <c r="DY61" i="44"/>
  <c r="BD56" i="44"/>
  <c r="DZ56" i="44"/>
  <c r="BD50" i="44"/>
  <c r="DZ50" i="44"/>
  <c r="BD30" i="44"/>
  <c r="DZ30" i="44"/>
  <c r="BD11" i="44"/>
  <c r="DZ11" i="44"/>
  <c r="DY41" i="44"/>
  <c r="BL29" i="44"/>
  <c r="CK29" i="44"/>
  <c r="DJ29" i="44"/>
  <c r="CJ29" i="44"/>
  <c r="DI29" i="44"/>
  <c r="BL44" i="44"/>
  <c r="CK44" i="44"/>
  <c r="DJ44" i="44"/>
  <c r="CJ44" i="44"/>
  <c r="DI44" i="44"/>
  <c r="BL19" i="44"/>
  <c r="CK19" i="44"/>
  <c r="DJ19" i="44"/>
  <c r="CJ19" i="44"/>
  <c r="DI19" i="44"/>
  <c r="BL59" i="44"/>
  <c r="CK59" i="44"/>
  <c r="DJ59" i="44"/>
  <c r="CJ59" i="44"/>
  <c r="DI59" i="44"/>
  <c r="BL49" i="44"/>
  <c r="CK49" i="44"/>
  <c r="DJ49" i="44"/>
  <c r="CJ49" i="44"/>
  <c r="DI49" i="44"/>
  <c r="BL39" i="44"/>
  <c r="CK39" i="44"/>
  <c r="DJ39" i="44"/>
  <c r="CJ39" i="44"/>
  <c r="DI39" i="44"/>
  <c r="BL54" i="44"/>
  <c r="CK54" i="44"/>
  <c r="DJ54" i="44"/>
  <c r="CJ54" i="44"/>
  <c r="DI54" i="44"/>
  <c r="BL34" i="44"/>
  <c r="CK34" i="44"/>
  <c r="DJ34" i="44"/>
  <c r="CJ34" i="44"/>
  <c r="DI34" i="44"/>
  <c r="BD60" i="44"/>
  <c r="DZ60" i="44"/>
  <c r="BD51" i="44"/>
  <c r="DZ51" i="44"/>
  <c r="BD32" i="44"/>
  <c r="DZ32" i="44"/>
  <c r="BC5" i="44"/>
  <c r="DY5" i="44"/>
  <c r="BC15" i="44"/>
  <c r="DY15" i="44"/>
  <c r="DY10" i="44"/>
  <c r="BC21" i="44"/>
  <c r="DY21" i="44"/>
  <c r="BC31" i="44"/>
  <c r="DY31" i="44"/>
  <c r="DY56" i="44"/>
  <c r="BC61" i="44"/>
  <c r="BC65" i="44"/>
  <c r="DY65" i="44"/>
  <c r="BC52" i="44"/>
  <c r="DY52" i="44"/>
  <c r="BC46" i="44"/>
  <c r="DY46" i="44"/>
  <c r="BC35" i="44"/>
  <c r="DY35" i="44"/>
  <c r="BC26" i="44"/>
  <c r="DY26" i="44"/>
  <c r="BC7" i="44"/>
  <c r="DY7" i="44"/>
  <c r="BC66" i="44"/>
  <c r="DY66" i="44"/>
  <c r="DY45" i="44"/>
  <c r="BC25" i="44"/>
  <c r="DY25" i="44"/>
  <c r="BC17" i="44"/>
  <c r="DY17" i="44"/>
  <c r="BC16" i="44"/>
  <c r="DY16" i="44"/>
  <c r="DY11" i="44"/>
  <c r="DY60" i="44"/>
  <c r="DY51" i="44"/>
  <c r="DY57" i="44"/>
  <c r="BC37" i="44"/>
  <c r="DY37" i="44"/>
  <c r="BC36" i="44"/>
  <c r="DY36" i="44"/>
  <c r="BC10" i="44"/>
  <c r="BC20" i="44"/>
  <c r="DY20" i="44"/>
  <c r="DY32" i="44"/>
  <c r="BL64" i="44"/>
  <c r="CK64" i="44"/>
  <c r="DJ64" i="44"/>
  <c r="CJ64" i="44"/>
  <c r="DI64" i="44"/>
  <c r="BL24" i="44"/>
  <c r="CK24" i="44"/>
  <c r="DJ24" i="44"/>
  <c r="CJ24" i="44"/>
  <c r="DI24" i="44"/>
  <c r="BD57" i="44"/>
  <c r="DZ57" i="44"/>
  <c r="BD41" i="44"/>
  <c r="DZ41" i="44"/>
  <c r="BC40" i="44"/>
  <c r="DY40" i="44"/>
  <c r="BC47" i="44"/>
  <c r="DY47" i="44"/>
  <c r="BC27" i="44"/>
  <c r="DY27" i="44"/>
  <c r="BC6" i="44"/>
  <c r="DY6" i="44"/>
  <c r="DY12" i="44"/>
  <c r="DY50" i="44"/>
  <c r="DY55" i="44"/>
  <c r="DY62" i="44"/>
  <c r="BC67" i="44"/>
  <c r="DY67" i="44"/>
  <c r="EI4" i="44"/>
  <c r="CK4" i="44"/>
  <c r="DY30" i="44"/>
  <c r="BC42" i="44"/>
  <c r="DY42" i="44"/>
  <c r="DI4" i="44"/>
  <c r="DI70" i="44"/>
  <c r="CJ2" i="44"/>
  <c r="O203" i="26"/>
  <c r="O113" i="26"/>
  <c r="M59" i="26"/>
  <c r="M23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41" i="26"/>
  <c r="X61" i="26"/>
  <c r="AL30" i="26"/>
  <c r="X34" i="26"/>
  <c r="X49" i="26"/>
  <c r="X56" i="26"/>
  <c r="X35" i="26"/>
  <c r="X50" i="26"/>
  <c r="X57" i="26"/>
  <c r="DJ4" i="44"/>
  <c r="DJ70" i="44"/>
  <c r="CK2" i="44"/>
  <c r="BD67" i="44"/>
  <c r="DZ67" i="44"/>
  <c r="BD40" i="44"/>
  <c r="DZ40" i="44"/>
  <c r="BE57" i="44"/>
  <c r="EA57" i="44"/>
  <c r="BD42" i="44"/>
  <c r="DZ42" i="44"/>
  <c r="BD6" i="44"/>
  <c r="DZ6" i="44"/>
  <c r="BD47" i="44"/>
  <c r="DZ47" i="44"/>
  <c r="BD20" i="44"/>
  <c r="DZ20" i="44"/>
  <c r="BD36" i="44"/>
  <c r="DZ36" i="44"/>
  <c r="BD16" i="44"/>
  <c r="DZ16" i="44"/>
  <c r="BD25" i="44"/>
  <c r="DZ25" i="44"/>
  <c r="BD7" i="44"/>
  <c r="DZ7" i="44"/>
  <c r="BD35" i="44"/>
  <c r="DZ35" i="44"/>
  <c r="BD52" i="44"/>
  <c r="DZ52" i="44"/>
  <c r="BD61" i="44"/>
  <c r="DZ61" i="44"/>
  <c r="BD21" i="44"/>
  <c r="DZ21" i="44"/>
  <c r="BD5" i="44"/>
  <c r="DZ5" i="44"/>
  <c r="BE32" i="44"/>
  <c r="EA32" i="44"/>
  <c r="BE51" i="44"/>
  <c r="EA51" i="44"/>
  <c r="BE60" i="44"/>
  <c r="EA60" i="44"/>
  <c r="BE11" i="44"/>
  <c r="EA11" i="44"/>
  <c r="BE30" i="44"/>
  <c r="EA30" i="44"/>
  <c r="BE50" i="44"/>
  <c r="EA50" i="44"/>
  <c r="BE56" i="44"/>
  <c r="EA56" i="44"/>
  <c r="BD27" i="44"/>
  <c r="DZ27" i="44"/>
  <c r="BE41" i="44"/>
  <c r="EA41" i="44"/>
  <c r="BD10" i="44"/>
  <c r="DZ10" i="44"/>
  <c r="BD37" i="44"/>
  <c r="DZ37" i="44"/>
  <c r="BD17" i="44"/>
  <c r="DZ17" i="44"/>
  <c r="BD66" i="44"/>
  <c r="DZ66" i="44"/>
  <c r="BD26" i="44"/>
  <c r="DZ26" i="44"/>
  <c r="BD46" i="44"/>
  <c r="DZ46" i="44"/>
  <c r="BD65" i="44"/>
  <c r="DZ65" i="44"/>
  <c r="BD31" i="44"/>
  <c r="DZ31" i="44"/>
  <c r="BD15" i="44"/>
  <c r="DZ15" i="44"/>
  <c r="BD22" i="44"/>
  <c r="DZ22" i="44"/>
  <c r="BE12" i="44"/>
  <c r="EA12" i="44"/>
  <c r="BE45" i="44"/>
  <c r="EA45" i="44"/>
  <c r="BE62" i="44"/>
  <c r="EA62" i="44"/>
  <c r="BE55" i="44"/>
  <c r="EA55" i="44"/>
  <c r="X65" i="26"/>
  <c r="X64" i="26"/>
  <c r="M203" i="26"/>
  <c r="AN27" i="26"/>
  <c r="AN28" i="26"/>
  <c r="Y7" i="26"/>
  <c r="Y8" i="26"/>
  <c r="Y9" i="26"/>
  <c r="Y10" i="26"/>
  <c r="Y11" i="26"/>
  <c r="Y12" i="26"/>
  <c r="Y13" i="26"/>
  <c r="Y14" i="26"/>
  <c r="Y15" i="26"/>
  <c r="Y16" i="26"/>
  <c r="Y17" i="26"/>
  <c r="Y18" i="26"/>
  <c r="Y19" i="26"/>
  <c r="Y20" i="26"/>
  <c r="Y6" i="26"/>
  <c r="Y31" i="26" s="1"/>
  <c r="X7" i="26"/>
  <c r="X8" i="26"/>
  <c r="X9" i="26"/>
  <c r="X10" i="26"/>
  <c r="X11" i="26"/>
  <c r="X12" i="26"/>
  <c r="X13" i="26"/>
  <c r="X14" i="26"/>
  <c r="X15" i="26"/>
  <c r="BC15" i="26"/>
  <c r="X16" i="26"/>
  <c r="X17" i="26"/>
  <c r="X18" i="26"/>
  <c r="X19" i="26"/>
  <c r="X20" i="26"/>
  <c r="X21" i="26"/>
  <c r="Y4" i="26"/>
  <c r="Y30" i="26" s="1"/>
  <c r="Z2" i="26"/>
  <c r="H23" i="24"/>
  <c r="K20" i="24"/>
  <c r="B20" i="24"/>
  <c r="K13" i="24"/>
  <c r="B13" i="24"/>
  <c r="D112" i="8"/>
  <c r="E112" i="8"/>
  <c r="F112" i="8"/>
  <c r="G112" i="8"/>
  <c r="H112" i="8"/>
  <c r="I112" i="8"/>
  <c r="J112" i="8"/>
  <c r="K112" i="8"/>
  <c r="L112" i="8"/>
  <c r="M112" i="8"/>
  <c r="C114" i="8"/>
  <c r="D114" i="8"/>
  <c r="E114" i="8"/>
  <c r="F114" i="8"/>
  <c r="G114" i="8"/>
  <c r="H114" i="8"/>
  <c r="I114" i="8"/>
  <c r="J114" i="8"/>
  <c r="K114" i="8"/>
  <c r="L114" i="8"/>
  <c r="M114" i="8"/>
  <c r="B110" i="8"/>
  <c r="D103" i="8"/>
  <c r="E103" i="8"/>
  <c r="F103" i="8"/>
  <c r="G103" i="8"/>
  <c r="H103" i="8"/>
  <c r="I103" i="8"/>
  <c r="J103" i="8"/>
  <c r="K103" i="8"/>
  <c r="L103" i="8"/>
  <c r="M103" i="8"/>
  <c r="C105" i="8"/>
  <c r="D105" i="8"/>
  <c r="E105" i="8"/>
  <c r="F105" i="8"/>
  <c r="G105" i="8"/>
  <c r="H105" i="8"/>
  <c r="I105" i="8"/>
  <c r="J105" i="8"/>
  <c r="K105" i="8"/>
  <c r="L105" i="8"/>
  <c r="M105" i="8"/>
  <c r="B101" i="8"/>
  <c r="D94" i="8"/>
  <c r="E94" i="8"/>
  <c r="F94" i="8"/>
  <c r="G94" i="8"/>
  <c r="H94" i="8"/>
  <c r="I94" i="8"/>
  <c r="J94" i="8"/>
  <c r="K94" i="8"/>
  <c r="L94" i="8"/>
  <c r="M94" i="8"/>
  <c r="C96" i="8"/>
  <c r="D96" i="8"/>
  <c r="E96" i="8"/>
  <c r="F96" i="8"/>
  <c r="G96" i="8"/>
  <c r="H96" i="8"/>
  <c r="I96" i="8"/>
  <c r="J96" i="8"/>
  <c r="K96" i="8"/>
  <c r="L96" i="8"/>
  <c r="M96" i="8"/>
  <c r="B92" i="8"/>
  <c r="D85" i="8"/>
  <c r="E85" i="8"/>
  <c r="F85" i="8"/>
  <c r="G85" i="8"/>
  <c r="H85" i="8"/>
  <c r="I85" i="8"/>
  <c r="J85" i="8"/>
  <c r="K85" i="8"/>
  <c r="L85" i="8"/>
  <c r="M85" i="8"/>
  <c r="C87" i="8"/>
  <c r="D87" i="8"/>
  <c r="E87" i="8"/>
  <c r="F87" i="8"/>
  <c r="G87" i="8"/>
  <c r="H87" i="8"/>
  <c r="I87" i="8"/>
  <c r="J87" i="8"/>
  <c r="K87" i="8"/>
  <c r="L87" i="8"/>
  <c r="M87" i="8"/>
  <c r="B83" i="8"/>
  <c r="D76" i="8"/>
  <c r="E76" i="8"/>
  <c r="F76" i="8"/>
  <c r="G76" i="8"/>
  <c r="H76" i="8"/>
  <c r="I76" i="8"/>
  <c r="J76" i="8"/>
  <c r="K76" i="8"/>
  <c r="L76" i="8"/>
  <c r="M76" i="8"/>
  <c r="C78" i="8"/>
  <c r="D78" i="8"/>
  <c r="E78" i="8"/>
  <c r="F78" i="8"/>
  <c r="G78" i="8"/>
  <c r="H78" i="8"/>
  <c r="I78" i="8"/>
  <c r="J78" i="8"/>
  <c r="K78" i="8"/>
  <c r="L78" i="8"/>
  <c r="M78" i="8"/>
  <c r="B74" i="8"/>
  <c r="D68" i="8"/>
  <c r="E68" i="8"/>
  <c r="F68" i="8"/>
  <c r="G68" i="8"/>
  <c r="H68" i="8"/>
  <c r="I68" i="8"/>
  <c r="J68" i="8"/>
  <c r="K68" i="8"/>
  <c r="L68" i="8"/>
  <c r="M68" i="8"/>
  <c r="C70" i="8"/>
  <c r="D70" i="8"/>
  <c r="E70" i="8"/>
  <c r="F70" i="8"/>
  <c r="G70" i="8"/>
  <c r="H70" i="8"/>
  <c r="I70" i="8"/>
  <c r="J70" i="8"/>
  <c r="K70" i="8"/>
  <c r="L70" i="8"/>
  <c r="M70" i="8"/>
  <c r="B66" i="8"/>
  <c r="D59" i="8"/>
  <c r="E59" i="8"/>
  <c r="F59" i="8"/>
  <c r="G59" i="8"/>
  <c r="H59" i="8"/>
  <c r="I59" i="8"/>
  <c r="J59" i="8"/>
  <c r="K59" i="8"/>
  <c r="L59" i="8"/>
  <c r="M59" i="8"/>
  <c r="C61" i="8"/>
  <c r="D61" i="8"/>
  <c r="E61" i="8"/>
  <c r="F61" i="8"/>
  <c r="G61" i="8"/>
  <c r="H61" i="8"/>
  <c r="I61" i="8"/>
  <c r="J61" i="8"/>
  <c r="K61" i="8"/>
  <c r="L61" i="8"/>
  <c r="M61" i="8"/>
  <c r="B57" i="8"/>
  <c r="D50" i="8"/>
  <c r="E50" i="8"/>
  <c r="F50" i="8"/>
  <c r="G50" i="8"/>
  <c r="H50" i="8"/>
  <c r="I50" i="8"/>
  <c r="J50" i="8"/>
  <c r="K50" i="8"/>
  <c r="L50" i="8"/>
  <c r="M50" i="8"/>
  <c r="C52" i="8"/>
  <c r="D52" i="8"/>
  <c r="E52" i="8"/>
  <c r="F52" i="8"/>
  <c r="G52" i="8"/>
  <c r="H52" i="8"/>
  <c r="I52" i="8"/>
  <c r="J52" i="8"/>
  <c r="K52" i="8"/>
  <c r="L52" i="8"/>
  <c r="M52" i="8"/>
  <c r="B48" i="8"/>
  <c r="D41" i="8"/>
  <c r="E41" i="8"/>
  <c r="F41" i="8"/>
  <c r="G41" i="8"/>
  <c r="H41" i="8"/>
  <c r="I41" i="8"/>
  <c r="J41" i="8"/>
  <c r="K41" i="8"/>
  <c r="L41" i="8"/>
  <c r="M41" i="8"/>
  <c r="C43" i="8"/>
  <c r="D43" i="8"/>
  <c r="E43" i="8"/>
  <c r="F43" i="8"/>
  <c r="G43" i="8"/>
  <c r="H43" i="8"/>
  <c r="I43" i="8"/>
  <c r="J43" i="8"/>
  <c r="K43" i="8"/>
  <c r="L43" i="8"/>
  <c r="M43" i="8"/>
  <c r="B39" i="8"/>
  <c r="D32" i="8"/>
  <c r="E32" i="8"/>
  <c r="F32" i="8"/>
  <c r="G32" i="8"/>
  <c r="H32" i="8"/>
  <c r="I32" i="8"/>
  <c r="J32" i="8"/>
  <c r="K32" i="8"/>
  <c r="L32" i="8"/>
  <c r="M32" i="8"/>
  <c r="C34" i="8"/>
  <c r="D34" i="8"/>
  <c r="E34" i="8"/>
  <c r="F34" i="8"/>
  <c r="G34" i="8"/>
  <c r="H34" i="8"/>
  <c r="I34" i="8"/>
  <c r="J34" i="8"/>
  <c r="K34" i="8"/>
  <c r="L34" i="8"/>
  <c r="M34" i="8"/>
  <c r="B30" i="8"/>
  <c r="D23" i="8"/>
  <c r="E23" i="8"/>
  <c r="F23" i="8"/>
  <c r="G23" i="8"/>
  <c r="H23" i="8"/>
  <c r="I23" i="8"/>
  <c r="J23" i="8"/>
  <c r="K23" i="8"/>
  <c r="L23" i="8"/>
  <c r="M23" i="8"/>
  <c r="C25" i="8"/>
  <c r="D25" i="8"/>
  <c r="E25" i="8"/>
  <c r="F25" i="8"/>
  <c r="G25" i="8"/>
  <c r="H25" i="8"/>
  <c r="I25" i="8"/>
  <c r="J25" i="8"/>
  <c r="K25" i="8"/>
  <c r="L25" i="8"/>
  <c r="M25" i="8"/>
  <c r="B21" i="8"/>
  <c r="H16" i="24"/>
  <c r="BF55" i="44"/>
  <c r="EB55" i="44"/>
  <c r="BF45" i="44"/>
  <c r="EB45" i="44"/>
  <c r="BE22" i="44"/>
  <c r="EA22" i="44"/>
  <c r="BE15" i="44"/>
  <c r="EA15" i="44"/>
  <c r="BE65" i="44"/>
  <c r="EA65" i="44"/>
  <c r="BE46" i="44"/>
  <c r="EA46" i="44"/>
  <c r="BE66" i="44"/>
  <c r="EA66" i="44"/>
  <c r="BE37" i="44"/>
  <c r="EA37" i="44"/>
  <c r="BF60" i="44"/>
  <c r="EB60" i="44"/>
  <c r="BF51" i="44"/>
  <c r="EB51" i="44"/>
  <c r="BF32" i="44"/>
  <c r="EB32" i="44"/>
  <c r="BE5" i="44"/>
  <c r="EA5" i="44"/>
  <c r="BE21" i="44"/>
  <c r="EA21" i="44"/>
  <c r="BE61" i="44"/>
  <c r="EA61" i="44"/>
  <c r="BE35" i="44"/>
  <c r="EA35" i="44"/>
  <c r="BE16" i="44"/>
  <c r="EA16" i="44"/>
  <c r="BE36" i="44"/>
  <c r="EA36" i="44"/>
  <c r="BE20" i="44"/>
  <c r="EA20" i="44"/>
  <c r="BE6" i="44"/>
  <c r="EA6" i="44"/>
  <c r="BE42" i="44"/>
  <c r="EA42" i="44"/>
  <c r="BF57" i="44"/>
  <c r="EB57" i="44"/>
  <c r="BE40" i="44"/>
  <c r="EA40" i="44"/>
  <c r="BF62" i="44"/>
  <c r="EB62" i="44"/>
  <c r="BF12" i="44"/>
  <c r="EB12" i="44"/>
  <c r="BE31" i="44"/>
  <c r="EA31" i="44"/>
  <c r="BE26" i="44"/>
  <c r="EA26" i="44"/>
  <c r="BE17" i="44"/>
  <c r="EA17" i="44"/>
  <c r="BE10" i="44"/>
  <c r="EA10" i="44"/>
  <c r="BF41" i="44"/>
  <c r="EB41" i="44"/>
  <c r="BE27" i="44"/>
  <c r="EA27" i="44"/>
  <c r="BF56" i="44"/>
  <c r="EB56" i="44"/>
  <c r="BF50" i="44"/>
  <c r="EB50" i="44"/>
  <c r="BF30" i="44"/>
  <c r="EB30" i="44"/>
  <c r="BF11" i="44"/>
  <c r="EB11" i="44"/>
  <c r="BE52" i="44"/>
  <c r="EA52" i="44"/>
  <c r="BE7" i="44"/>
  <c r="EA7" i="44"/>
  <c r="BE25" i="44"/>
  <c r="EA25" i="44"/>
  <c r="BE47" i="44"/>
  <c r="EA47" i="44"/>
  <c r="BE67" i="44"/>
  <c r="EA67" i="44"/>
  <c r="AN21" i="26"/>
  <c r="X22" i="26"/>
  <c r="BC21" i="26"/>
  <c r="BS21" i="26"/>
  <c r="BS56" i="26"/>
  <c r="BD98" i="26"/>
  <c r="BD78" i="26"/>
  <c r="AN6" i="26"/>
  <c r="BC6" i="26"/>
  <c r="AN19" i="26"/>
  <c r="BC19" i="26"/>
  <c r="AN17" i="26"/>
  <c r="BC17" i="26"/>
  <c r="BS15" i="26"/>
  <c r="BS50" i="26"/>
  <c r="BD92" i="26"/>
  <c r="BD72" i="26"/>
  <c r="BD15" i="26"/>
  <c r="AN13" i="26"/>
  <c r="BC13" i="26"/>
  <c r="AN11" i="26"/>
  <c r="BC11" i="26"/>
  <c r="AN9" i="26"/>
  <c r="BC9" i="26"/>
  <c r="AN7" i="26"/>
  <c r="BC7" i="26"/>
  <c r="AA2" i="26"/>
  <c r="AA20" i="26"/>
  <c r="Z1" i="26"/>
  <c r="AB1" i="26" s="1"/>
  <c r="AJ20" i="44" s="1"/>
  <c r="BE2" i="26"/>
  <c r="AN20" i="26"/>
  <c r="BC20" i="26"/>
  <c r="AN18" i="26"/>
  <c r="BC18" i="26"/>
  <c r="AN16" i="26"/>
  <c r="BC16" i="26"/>
  <c r="AN14" i="26"/>
  <c r="BC14" i="26"/>
  <c r="AN12" i="26"/>
  <c r="BC12" i="26"/>
  <c r="AN10" i="26"/>
  <c r="BC10" i="26"/>
  <c r="AN8" i="26"/>
  <c r="BC8" i="26"/>
  <c r="AN15" i="26"/>
  <c r="X32" i="26"/>
  <c r="Z4" i="26"/>
  <c r="AA19" i="26"/>
  <c r="AA17" i="26"/>
  <c r="AA15" i="26"/>
  <c r="AA13" i="26"/>
  <c r="AA11" i="26"/>
  <c r="AA9" i="26"/>
  <c r="AA7" i="26"/>
  <c r="BG64" i="26" s="1"/>
  <c r="Z20" i="26"/>
  <c r="Z19" i="26"/>
  <c r="Z18" i="26"/>
  <c r="Z17" i="26"/>
  <c r="Z16" i="26"/>
  <c r="Z15" i="26"/>
  <c r="Z32" i="26" s="1"/>
  <c r="Z14" i="26"/>
  <c r="Z13" i="26"/>
  <c r="Z12" i="26"/>
  <c r="Z11" i="26"/>
  <c r="Z10" i="26"/>
  <c r="Z9" i="26"/>
  <c r="Z8" i="26"/>
  <c r="Z7" i="26"/>
  <c r="BF64" i="26" s="1"/>
  <c r="Z6" i="26"/>
  <c r="AA4" i="26"/>
  <c r="B4" i="24"/>
  <c r="K4" i="24"/>
  <c r="H7" i="24"/>
  <c r="M157" i="37"/>
  <c r="M158" i="37"/>
  <c r="M161" i="37"/>
  <c r="M159" i="37"/>
  <c r="N163" i="37"/>
  <c r="R37" i="37"/>
  <c r="R36" i="37"/>
  <c r="R35" i="37"/>
  <c r="R34" i="37"/>
  <c r="R33" i="37"/>
  <c r="R32" i="37"/>
  <c r="R31" i="37"/>
  <c r="R30" i="37"/>
  <c r="R29" i="37"/>
  <c r="R28" i="37"/>
  <c r="R27" i="37"/>
  <c r="R38" i="37"/>
  <c r="T27" i="37"/>
  <c r="T28" i="37"/>
  <c r="T29" i="37"/>
  <c r="BF67" i="44"/>
  <c r="EB67" i="44"/>
  <c r="BF25" i="44"/>
  <c r="EB25" i="44"/>
  <c r="BF52" i="44"/>
  <c r="EB52" i="44"/>
  <c r="BF47" i="44"/>
  <c r="EB47" i="44"/>
  <c r="BF7" i="44"/>
  <c r="EB7" i="44"/>
  <c r="BG11" i="44"/>
  <c r="EC11" i="44"/>
  <c r="BG50" i="44"/>
  <c r="EC50" i="44"/>
  <c r="BF27" i="44"/>
  <c r="EB27" i="44"/>
  <c r="BG41" i="44"/>
  <c r="EC41" i="44"/>
  <c r="BF10" i="44"/>
  <c r="EB10" i="44"/>
  <c r="BF26" i="44"/>
  <c r="EB26" i="44"/>
  <c r="BG12" i="44"/>
  <c r="EC12" i="44"/>
  <c r="BF40" i="44"/>
  <c r="EB40" i="44"/>
  <c r="BG57" i="44"/>
  <c r="EC57" i="44"/>
  <c r="BF6" i="44"/>
  <c r="EB6" i="44"/>
  <c r="BF36" i="44"/>
  <c r="EB36" i="44"/>
  <c r="BF35" i="44"/>
  <c r="EB35" i="44"/>
  <c r="BF21" i="44"/>
  <c r="EB21" i="44"/>
  <c r="BG32" i="44"/>
  <c r="EC32" i="44"/>
  <c r="BG60" i="44"/>
  <c r="EC60" i="44"/>
  <c r="BF66" i="44"/>
  <c r="EB66" i="44"/>
  <c r="BF65" i="44"/>
  <c r="EB65" i="44"/>
  <c r="BF22" i="44"/>
  <c r="EB22" i="44"/>
  <c r="BG55" i="44"/>
  <c r="EC55" i="44"/>
  <c r="BG30" i="44"/>
  <c r="EC30" i="44"/>
  <c r="BG56" i="44"/>
  <c r="EC56" i="44"/>
  <c r="BF17" i="44"/>
  <c r="EB17" i="44"/>
  <c r="BF31" i="44"/>
  <c r="EB31" i="44"/>
  <c r="BG62" i="44"/>
  <c r="EC62" i="44"/>
  <c r="BF42" i="44"/>
  <c r="EB42" i="44"/>
  <c r="BF20" i="44"/>
  <c r="EB20" i="44"/>
  <c r="BF16" i="44"/>
  <c r="EB16" i="44"/>
  <c r="BF61" i="44"/>
  <c r="EB61" i="44"/>
  <c r="BF5" i="44"/>
  <c r="EB5" i="44"/>
  <c r="BG51" i="44"/>
  <c r="EC51" i="44"/>
  <c r="BF37" i="44"/>
  <c r="EB37" i="44"/>
  <c r="BF46" i="44"/>
  <c r="EB46" i="44"/>
  <c r="BF15" i="44"/>
  <c r="EB15" i="44"/>
  <c r="BG45" i="44"/>
  <c r="EC45" i="44"/>
  <c r="X23" i="26"/>
  <c r="AN22" i="26"/>
  <c r="BC22" i="26"/>
  <c r="BS22" i="26"/>
  <c r="BS57" i="26"/>
  <c r="BD99" i="26"/>
  <c r="BD79" i="26"/>
  <c r="AA6" i="26"/>
  <c r="AA8" i="26"/>
  <c r="AA10" i="26"/>
  <c r="AA12" i="26"/>
  <c r="AA14" i="26"/>
  <c r="AA16" i="26"/>
  <c r="AA18" i="26"/>
  <c r="BS8" i="26"/>
  <c r="BS43" i="26"/>
  <c r="BD85" i="26"/>
  <c r="BD65" i="26"/>
  <c r="BD8" i="26"/>
  <c r="BS10" i="26"/>
  <c r="BS45" i="26"/>
  <c r="BD87" i="26"/>
  <c r="BD67" i="26"/>
  <c r="BD10" i="26"/>
  <c r="BS12" i="26"/>
  <c r="BS47" i="26"/>
  <c r="BD89" i="26"/>
  <c r="BD69" i="26"/>
  <c r="BD12" i="26"/>
  <c r="BS14" i="26"/>
  <c r="BS49" i="26"/>
  <c r="BD91" i="26"/>
  <c r="BD71" i="26"/>
  <c r="BD14" i="26"/>
  <c r="BT14" i="26" s="1"/>
  <c r="BS16" i="26"/>
  <c r="BS51" i="26"/>
  <c r="BD93" i="26"/>
  <c r="BD73" i="26"/>
  <c r="BD16" i="26"/>
  <c r="BS18" i="26"/>
  <c r="BS53" i="26"/>
  <c r="BD95" i="26"/>
  <c r="BD75" i="26"/>
  <c r="BD18" i="26"/>
  <c r="BS20" i="26"/>
  <c r="BS55" i="26"/>
  <c r="BD97" i="26"/>
  <c r="BD77" i="26"/>
  <c r="BD20" i="26"/>
  <c r="BE18" i="26"/>
  <c r="BU18" i="26" s="1"/>
  <c r="BE7" i="26"/>
  <c r="BE8" i="26"/>
  <c r="BU8" i="26" s="1"/>
  <c r="BE9" i="26"/>
  <c r="BE10" i="26"/>
  <c r="BU10" i="26" s="1"/>
  <c r="BU45" i="26" s="1"/>
  <c r="BE11" i="26"/>
  <c r="BE16" i="26"/>
  <c r="BE20" i="26"/>
  <c r="BE6" i="26"/>
  <c r="BE5" i="26" s="1"/>
  <c r="BU5" i="26" s="1"/>
  <c r="BU40" i="26" s="1"/>
  <c r="BE12" i="26"/>
  <c r="BE13" i="26"/>
  <c r="BE14" i="26"/>
  <c r="BE15" i="26"/>
  <c r="BE19" i="26"/>
  <c r="BE17" i="26"/>
  <c r="AB2" i="26"/>
  <c r="BF2" i="26"/>
  <c r="BS7" i="26"/>
  <c r="BS42" i="26"/>
  <c r="BD84" i="26"/>
  <c r="BD64" i="26"/>
  <c r="BD7" i="26"/>
  <c r="BS9" i="26"/>
  <c r="BS44" i="26"/>
  <c r="BD86" i="26"/>
  <c r="BD66" i="26"/>
  <c r="BD9" i="26"/>
  <c r="BS11" i="26"/>
  <c r="BS46" i="26"/>
  <c r="BD88" i="26"/>
  <c r="BD68" i="26"/>
  <c r="BD11" i="26"/>
  <c r="BS13" i="26"/>
  <c r="BS48" i="26"/>
  <c r="BD90" i="26"/>
  <c r="BD70" i="26"/>
  <c r="BD13" i="26"/>
  <c r="BS17" i="26"/>
  <c r="BS52" i="26"/>
  <c r="BD94" i="26"/>
  <c r="BD74" i="26"/>
  <c r="BD17" i="26"/>
  <c r="BS19" i="26"/>
  <c r="BS54" i="26"/>
  <c r="BD96" i="26"/>
  <c r="BD76" i="26"/>
  <c r="BD19" i="26"/>
  <c r="BS6" i="26"/>
  <c r="BS41" i="26"/>
  <c r="N164" i="37"/>
  <c r="N165" i="37"/>
  <c r="N166" i="37"/>
  <c r="N167" i="37"/>
  <c r="N168" i="37"/>
  <c r="N169" i="37"/>
  <c r="N170" i="37"/>
  <c r="N171" i="37"/>
  <c r="N172" i="37"/>
  <c r="N173" i="37"/>
  <c r="N174" i="37"/>
  <c r="N175" i="37"/>
  <c r="N176" i="37"/>
  <c r="N177" i="37"/>
  <c r="N178" i="37"/>
  <c r="O163" i="37"/>
  <c r="T30" i="37"/>
  <c r="T31" i="37"/>
  <c r="T32" i="37"/>
  <c r="T33" i="37"/>
  <c r="T34" i="37"/>
  <c r="T35" i="37"/>
  <c r="T36" i="37"/>
  <c r="T37" i="37"/>
  <c r="T38" i="37"/>
  <c r="T39" i="37"/>
  <c r="T40" i="37"/>
  <c r="T41" i="37"/>
  <c r="V31" i="37"/>
  <c r="V33" i="37"/>
  <c r="V35" i="37"/>
  <c r="V37" i="37"/>
  <c r="V39" i="37"/>
  <c r="V41" i="37"/>
  <c r="V32" i="37"/>
  <c r="V34" i="37"/>
  <c r="V36" i="37"/>
  <c r="V38" i="37"/>
  <c r="V40" i="37"/>
  <c r="V30" i="37"/>
  <c r="AN32" i="26"/>
  <c r="X47" i="26"/>
  <c r="X54" i="26"/>
  <c r="X62" i="26"/>
  <c r="O149" i="26"/>
  <c r="O221" i="26"/>
  <c r="C23" i="41"/>
  <c r="C19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V18" i="41"/>
  <c r="W18" i="41"/>
  <c r="X18" i="41"/>
  <c r="Y18" i="41"/>
  <c r="Z18" i="41"/>
  <c r="AA18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D17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V16" i="41"/>
  <c r="W16" i="41"/>
  <c r="X16" i="41"/>
  <c r="Y16" i="41"/>
  <c r="Z16" i="41"/>
  <c r="AA16" i="41"/>
  <c r="D16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V15" i="41"/>
  <c r="W15" i="41"/>
  <c r="X15" i="41"/>
  <c r="Y15" i="41"/>
  <c r="Z15" i="41"/>
  <c r="AA15" i="41"/>
  <c r="D15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E13" i="41"/>
  <c r="F13" i="41"/>
  <c r="D13" i="41"/>
  <c r="E2" i="41"/>
  <c r="F2" i="41"/>
  <c r="G2" i="41"/>
  <c r="H2" i="41"/>
  <c r="I2" i="41"/>
  <c r="J2" i="41"/>
  <c r="K2" i="41"/>
  <c r="L2" i="41"/>
  <c r="M2" i="41"/>
  <c r="N2" i="41"/>
  <c r="O2" i="41"/>
  <c r="P2" i="41"/>
  <c r="Q2" i="41"/>
  <c r="R2" i="41"/>
  <c r="S2" i="41"/>
  <c r="T2" i="41"/>
  <c r="U2" i="41"/>
  <c r="V2" i="41"/>
  <c r="W2" i="41"/>
  <c r="X2" i="41"/>
  <c r="D2" i="41"/>
  <c r="B2" i="41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C23" i="40"/>
  <c r="C19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D17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D16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E13" i="40"/>
  <c r="F13" i="40"/>
  <c r="G13" i="40"/>
  <c r="D13" i="40"/>
  <c r="D2" i="40"/>
  <c r="E2" i="40"/>
  <c r="F2" i="40"/>
  <c r="G2" i="40"/>
  <c r="H2" i="40"/>
  <c r="I2" i="40"/>
  <c r="J2" i="40"/>
  <c r="K2" i="40"/>
  <c r="L2" i="40"/>
  <c r="M2" i="40"/>
  <c r="N2" i="40"/>
  <c r="O2" i="40"/>
  <c r="P2" i="40"/>
  <c r="Q2" i="40"/>
  <c r="R2" i="40"/>
  <c r="S2" i="40"/>
  <c r="T2" i="40"/>
  <c r="U2" i="40"/>
  <c r="V2" i="40"/>
  <c r="W2" i="40"/>
  <c r="X2" i="40"/>
  <c r="B2" i="40"/>
  <c r="M185" i="26"/>
  <c r="C23" i="39"/>
  <c r="C19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D18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Z17" i="39"/>
  <c r="AA17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D16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R15" i="39"/>
  <c r="S15" i="39"/>
  <c r="T15" i="39"/>
  <c r="U15" i="39"/>
  <c r="V15" i="39"/>
  <c r="W15" i="39"/>
  <c r="X15" i="39"/>
  <c r="Y15" i="39"/>
  <c r="Z15" i="39"/>
  <c r="AA15" i="39"/>
  <c r="D15" i="39"/>
  <c r="D14" i="39"/>
  <c r="D13" i="39"/>
  <c r="E13" i="39"/>
  <c r="E2" i="39"/>
  <c r="F2" i="39"/>
  <c r="G2" i="39"/>
  <c r="H2" i="39"/>
  <c r="I2" i="39"/>
  <c r="J2" i="39"/>
  <c r="K2" i="39"/>
  <c r="L2" i="39"/>
  <c r="M2" i="39"/>
  <c r="N2" i="39"/>
  <c r="O2" i="39"/>
  <c r="P2" i="39"/>
  <c r="Q2" i="39"/>
  <c r="R2" i="39"/>
  <c r="S2" i="39"/>
  <c r="T2" i="39"/>
  <c r="U2" i="39"/>
  <c r="V2" i="39"/>
  <c r="W2" i="39"/>
  <c r="X2" i="39"/>
  <c r="D2" i="39"/>
  <c r="B2" i="39"/>
  <c r="F75" i="37"/>
  <c r="F74" i="37"/>
  <c r="F76" i="37"/>
  <c r="F73" i="37"/>
  <c r="N168" i="26"/>
  <c r="F57" i="37"/>
  <c r="F56" i="37"/>
  <c r="F59" i="37"/>
  <c r="C23" i="38"/>
  <c r="C19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D17" i="38"/>
  <c r="E17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D14" i="38"/>
  <c r="E14" i="38"/>
  <c r="F14" i="38"/>
  <c r="G14" i="38"/>
  <c r="D13" i="38"/>
  <c r="D2" i="38"/>
  <c r="E2" i="38"/>
  <c r="F2" i="38"/>
  <c r="G2" i="38"/>
  <c r="H2" i="38"/>
  <c r="I2" i="38"/>
  <c r="J2" i="38"/>
  <c r="K2" i="38"/>
  <c r="L2" i="38"/>
  <c r="M2" i="38"/>
  <c r="N2" i="38"/>
  <c r="O2" i="38"/>
  <c r="P2" i="38"/>
  <c r="Q2" i="38"/>
  <c r="R2" i="38"/>
  <c r="S2" i="38"/>
  <c r="T2" i="38"/>
  <c r="U2" i="38"/>
  <c r="V2" i="38"/>
  <c r="W2" i="38"/>
  <c r="X2" i="38"/>
  <c r="B2" i="38"/>
  <c r="M149" i="26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B41" i="37"/>
  <c r="B42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C23" i="36"/>
  <c r="C19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D16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D14" i="36"/>
  <c r="D19" i="36"/>
  <c r="E13" i="36"/>
  <c r="F13" i="36"/>
  <c r="D13" i="36"/>
  <c r="E2" i="36"/>
  <c r="F2" i="36"/>
  <c r="G2" i="36"/>
  <c r="H2" i="36"/>
  <c r="I2" i="36"/>
  <c r="J2" i="36"/>
  <c r="K2" i="36"/>
  <c r="L2" i="36"/>
  <c r="M2" i="36"/>
  <c r="N2" i="36"/>
  <c r="O2" i="36"/>
  <c r="P2" i="36"/>
  <c r="Q2" i="36"/>
  <c r="R2" i="36"/>
  <c r="S2" i="36"/>
  <c r="T2" i="36"/>
  <c r="U2" i="36"/>
  <c r="V2" i="36"/>
  <c r="W2" i="36"/>
  <c r="X2" i="36"/>
  <c r="D2" i="36"/>
  <c r="B2" i="36"/>
  <c r="BG46" i="44"/>
  <c r="EC46" i="44"/>
  <c r="BG37" i="44"/>
  <c r="EC37" i="44"/>
  <c r="BH51" i="44"/>
  <c r="ED51" i="44"/>
  <c r="BG61" i="44"/>
  <c r="EC61" i="44"/>
  <c r="BG20" i="44"/>
  <c r="EC20" i="44"/>
  <c r="BG42" i="44"/>
  <c r="EC42" i="44"/>
  <c r="BG17" i="44"/>
  <c r="EC17" i="44"/>
  <c r="BH56" i="44"/>
  <c r="ED56" i="44"/>
  <c r="BG65" i="44"/>
  <c r="EC65" i="44"/>
  <c r="BG66" i="44"/>
  <c r="EC66" i="44"/>
  <c r="BH60" i="44"/>
  <c r="ED60" i="44"/>
  <c r="BG21" i="44"/>
  <c r="EC21" i="44"/>
  <c r="BG26" i="44"/>
  <c r="EC26" i="44"/>
  <c r="BG10" i="44"/>
  <c r="EC10" i="44"/>
  <c r="BH41" i="44"/>
  <c r="ED41" i="44"/>
  <c r="BG27" i="44"/>
  <c r="EC27" i="44"/>
  <c r="BH50" i="44"/>
  <c r="ED50" i="44"/>
  <c r="BH11" i="44"/>
  <c r="ED11" i="44"/>
  <c r="BG47" i="44"/>
  <c r="EC47" i="44"/>
  <c r="BG25" i="44"/>
  <c r="EC25" i="44"/>
  <c r="BH45" i="44"/>
  <c r="ED45" i="44"/>
  <c r="BG15" i="44"/>
  <c r="EC15" i="44"/>
  <c r="BG5" i="44"/>
  <c r="EC5" i="44"/>
  <c r="BG16" i="44"/>
  <c r="EC16" i="44"/>
  <c r="BH62" i="44"/>
  <c r="ED62" i="44"/>
  <c r="BG31" i="44"/>
  <c r="EC31" i="44"/>
  <c r="BH30" i="44"/>
  <c r="ED30" i="44"/>
  <c r="BH55" i="44"/>
  <c r="ED55" i="44"/>
  <c r="BG22" i="44"/>
  <c r="EC22" i="44"/>
  <c r="BH32" i="44"/>
  <c r="ED32" i="44"/>
  <c r="BG35" i="44"/>
  <c r="EC35" i="44"/>
  <c r="BG36" i="44"/>
  <c r="EC36" i="44"/>
  <c r="BG6" i="44"/>
  <c r="EC6" i="44"/>
  <c r="BH57" i="44"/>
  <c r="ED57" i="44"/>
  <c r="BG40" i="44"/>
  <c r="EC40" i="44"/>
  <c r="BH12" i="44"/>
  <c r="ED12" i="44"/>
  <c r="BG7" i="44"/>
  <c r="EC7" i="44"/>
  <c r="BG52" i="44"/>
  <c r="EC52" i="44"/>
  <c r="BG67" i="44"/>
  <c r="EC67" i="44"/>
  <c r="X24" i="26"/>
  <c r="X25" i="26"/>
  <c r="BC23" i="26"/>
  <c r="BS23" i="26"/>
  <c r="BS58" i="26"/>
  <c r="BD100" i="26"/>
  <c r="BD80" i="26"/>
  <c r="AN23" i="26"/>
  <c r="BF17" i="26"/>
  <c r="CB15" i="44" s="1"/>
  <c r="BF19" i="26"/>
  <c r="BF7" i="26"/>
  <c r="BR15" i="44" s="1"/>
  <c r="CQ15" i="44" s="1"/>
  <c r="BF8" i="26"/>
  <c r="BV8" i="26" s="1"/>
  <c r="BF9" i="26"/>
  <c r="BT15" i="44" s="1"/>
  <c r="BF10" i="26"/>
  <c r="BF11" i="26"/>
  <c r="BF12" i="26"/>
  <c r="BF13" i="26"/>
  <c r="BX15" i="44" s="1"/>
  <c r="CW15" i="44" s="1"/>
  <c r="BF14" i="26"/>
  <c r="BF15" i="26"/>
  <c r="BZ15" i="44" s="1"/>
  <c r="CY15" i="44" s="1"/>
  <c r="BF6" i="26"/>
  <c r="BF18" i="26"/>
  <c r="BF20" i="26"/>
  <c r="BF16" i="26"/>
  <c r="CA15" i="44" s="1"/>
  <c r="CZ15" i="44" s="1"/>
  <c r="AC2" i="26"/>
  <c r="BG2" i="26"/>
  <c r="AB20" i="26"/>
  <c r="AB19" i="26"/>
  <c r="AB18" i="26"/>
  <c r="AB17" i="26"/>
  <c r="AB16" i="26"/>
  <c r="AB15" i="26"/>
  <c r="AB32" i="26" s="1"/>
  <c r="AB14" i="26"/>
  <c r="AB13" i="26"/>
  <c r="AB12" i="26"/>
  <c r="AB11" i="26"/>
  <c r="AB9" i="26"/>
  <c r="AB7" i="26"/>
  <c r="AB10" i="26"/>
  <c r="AB8" i="26"/>
  <c r="AB6" i="26"/>
  <c r="AB31" i="26" s="1"/>
  <c r="AB4" i="26"/>
  <c r="BG4" i="26" s="1"/>
  <c r="D19" i="39"/>
  <c r="D19" i="40"/>
  <c r="O164" i="37"/>
  <c r="O165" i="37"/>
  <c r="O166" i="37"/>
  <c r="O167" i="37"/>
  <c r="O168" i="37"/>
  <c r="O169" i="37"/>
  <c r="O170" i="37"/>
  <c r="O171" i="37"/>
  <c r="O172" i="37"/>
  <c r="O173" i="37"/>
  <c r="O174" i="37"/>
  <c r="O175" i="37"/>
  <c r="O176" i="37"/>
  <c r="O177" i="37"/>
  <c r="O178" i="37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D19" i="41"/>
  <c r="M221" i="26"/>
  <c r="F19" i="41"/>
  <c r="G13" i="41"/>
  <c r="E19" i="41"/>
  <c r="G19" i="40"/>
  <c r="H13" i="40"/>
  <c r="F19" i="40"/>
  <c r="E19" i="40"/>
  <c r="F13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D19" i="38"/>
  <c r="E13" i="38"/>
  <c r="G13" i="36"/>
  <c r="F19" i="36"/>
  <c r="E19" i="36"/>
  <c r="C23" i="35"/>
  <c r="C19" i="35"/>
  <c r="D18" i="35"/>
  <c r="E18" i="35"/>
  <c r="F18" i="35"/>
  <c r="G18" i="35"/>
  <c r="H18" i="35"/>
  <c r="I18" i="35"/>
  <c r="J18" i="35"/>
  <c r="K18" i="35"/>
  <c r="L18" i="35"/>
  <c r="M18" i="35"/>
  <c r="N18" i="35"/>
  <c r="O18" i="35"/>
  <c r="P18" i="35"/>
  <c r="Q18" i="35"/>
  <c r="R18" i="35"/>
  <c r="S18" i="35"/>
  <c r="T18" i="35"/>
  <c r="U18" i="35"/>
  <c r="V18" i="35"/>
  <c r="W18" i="35"/>
  <c r="X18" i="35"/>
  <c r="Y18" i="35"/>
  <c r="Z18" i="35"/>
  <c r="AA18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Y17" i="35"/>
  <c r="Z17" i="35"/>
  <c r="AA17" i="35"/>
  <c r="D17" i="35"/>
  <c r="D16" i="35"/>
  <c r="E16" i="35"/>
  <c r="F16" i="35"/>
  <c r="G16" i="35"/>
  <c r="H16" i="35"/>
  <c r="I16" i="35"/>
  <c r="J16" i="35"/>
  <c r="K16" i="35"/>
  <c r="L16" i="35"/>
  <c r="M16" i="35"/>
  <c r="N16" i="35"/>
  <c r="O16" i="35"/>
  <c r="P16" i="35"/>
  <c r="Q16" i="35"/>
  <c r="R16" i="35"/>
  <c r="S16" i="35"/>
  <c r="T16" i="35"/>
  <c r="U16" i="35"/>
  <c r="V16" i="35"/>
  <c r="W16" i="35"/>
  <c r="X16" i="35"/>
  <c r="Y16" i="35"/>
  <c r="Z16" i="35"/>
  <c r="AA16" i="35"/>
  <c r="D15" i="35"/>
  <c r="E15" i="35"/>
  <c r="G14" i="35"/>
  <c r="H14" i="35"/>
  <c r="I14" i="35"/>
  <c r="J14" i="35"/>
  <c r="K14" i="35"/>
  <c r="L14" i="35"/>
  <c r="M14" i="35"/>
  <c r="N14" i="35"/>
  <c r="O14" i="35"/>
  <c r="P14" i="35"/>
  <c r="Q14" i="35"/>
  <c r="R14" i="35"/>
  <c r="S14" i="35"/>
  <c r="T14" i="35"/>
  <c r="U14" i="35"/>
  <c r="V14" i="35"/>
  <c r="W14" i="35"/>
  <c r="X14" i="35"/>
  <c r="Y14" i="35"/>
  <c r="Z14" i="35"/>
  <c r="AA14" i="35"/>
  <c r="D14" i="35"/>
  <c r="E14" i="35"/>
  <c r="F14" i="35"/>
  <c r="E13" i="35"/>
  <c r="F13" i="35"/>
  <c r="G13" i="35"/>
  <c r="D13" i="35"/>
  <c r="D2" i="35"/>
  <c r="E2" i="35"/>
  <c r="F2" i="35"/>
  <c r="G2" i="35"/>
  <c r="H2" i="35"/>
  <c r="I2" i="35"/>
  <c r="J2" i="35"/>
  <c r="K2" i="35"/>
  <c r="L2" i="35"/>
  <c r="M2" i="35"/>
  <c r="N2" i="35"/>
  <c r="O2" i="35"/>
  <c r="P2" i="35"/>
  <c r="Q2" i="35"/>
  <c r="R2" i="35"/>
  <c r="S2" i="35"/>
  <c r="T2" i="35"/>
  <c r="U2" i="35"/>
  <c r="V2" i="35"/>
  <c r="W2" i="35"/>
  <c r="X2" i="35"/>
  <c r="B2" i="35"/>
  <c r="J10" i="31"/>
  <c r="J9" i="31"/>
  <c r="J8" i="31"/>
  <c r="J7" i="31"/>
  <c r="J6" i="31"/>
  <c r="I10" i="31"/>
  <c r="I9" i="31"/>
  <c r="I8" i="31"/>
  <c r="I7" i="31"/>
  <c r="I6" i="31"/>
  <c r="M131" i="26"/>
  <c r="M113" i="26"/>
  <c r="C23" i="34"/>
  <c r="C19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AA18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AA17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Y16" i="34"/>
  <c r="Z16" i="34"/>
  <c r="AA16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AA15" i="34"/>
  <c r="D14" i="34"/>
  <c r="E13" i="34"/>
  <c r="F13" i="34"/>
  <c r="D13" i="34"/>
  <c r="H2" i="34"/>
  <c r="I2" i="34"/>
  <c r="J2" i="34"/>
  <c r="K2" i="34"/>
  <c r="L2" i="34"/>
  <c r="M2" i="34"/>
  <c r="N2" i="34"/>
  <c r="O2" i="34"/>
  <c r="P2" i="34"/>
  <c r="Q2" i="34"/>
  <c r="R2" i="34"/>
  <c r="S2" i="34"/>
  <c r="T2" i="34"/>
  <c r="U2" i="34"/>
  <c r="V2" i="34"/>
  <c r="W2" i="34"/>
  <c r="X2" i="34"/>
  <c r="D2" i="34"/>
  <c r="E2" i="34"/>
  <c r="F2" i="34"/>
  <c r="G2" i="34"/>
  <c r="B2" i="34"/>
  <c r="C23" i="33"/>
  <c r="C19" i="33"/>
  <c r="D18" i="33"/>
  <c r="E18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Y18" i="33"/>
  <c r="Z18" i="33"/>
  <c r="AA18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Y17" i="33"/>
  <c r="Z17" i="33"/>
  <c r="AA17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D15" i="33"/>
  <c r="E15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V15" i="33"/>
  <c r="W15" i="33"/>
  <c r="X15" i="33"/>
  <c r="Y15" i="33"/>
  <c r="Z15" i="33"/>
  <c r="AA15" i="33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Y14" i="33"/>
  <c r="Z14" i="33"/>
  <c r="AA14" i="33"/>
  <c r="D13" i="33"/>
  <c r="D2" i="33"/>
  <c r="B2" i="33"/>
  <c r="O95" i="26"/>
  <c r="C23" i="32"/>
  <c r="C19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Z18" i="32"/>
  <c r="AA18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Z15" i="32"/>
  <c r="AA15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E13" i="32"/>
  <c r="F13" i="32"/>
  <c r="D13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D2" i="32"/>
  <c r="E2" i="32"/>
  <c r="F2" i="32"/>
  <c r="G2" i="32"/>
  <c r="H2" i="32"/>
  <c r="I2" i="32"/>
  <c r="J2" i="32"/>
  <c r="K2" i="32"/>
  <c r="L2" i="32"/>
  <c r="M2" i="32"/>
  <c r="N2" i="32"/>
  <c r="O2" i="32"/>
  <c r="P2" i="32"/>
  <c r="Q2" i="32"/>
  <c r="R2" i="32"/>
  <c r="S2" i="32"/>
  <c r="T2" i="32"/>
  <c r="U2" i="32"/>
  <c r="V2" i="32"/>
  <c r="W2" i="32"/>
  <c r="X2" i="32"/>
  <c r="B2" i="32"/>
  <c r="O77" i="26"/>
  <c r="O41" i="26"/>
  <c r="C23" i="30"/>
  <c r="C19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W18" i="30"/>
  <c r="X18" i="30"/>
  <c r="Y18" i="30"/>
  <c r="Z18" i="30"/>
  <c r="AA18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Z17" i="30"/>
  <c r="AA17" i="30"/>
  <c r="D16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D13" i="30"/>
  <c r="E13" i="30"/>
  <c r="F13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X10" i="30"/>
  <c r="Y10" i="30"/>
  <c r="Z10" i="30"/>
  <c r="AA10" i="30"/>
  <c r="D2" i="30"/>
  <c r="E2" i="30"/>
  <c r="F2" i="30"/>
  <c r="G2" i="30"/>
  <c r="H2" i="30"/>
  <c r="I2" i="30"/>
  <c r="J2" i="30"/>
  <c r="K2" i="30"/>
  <c r="L2" i="30"/>
  <c r="M2" i="30"/>
  <c r="N2" i="30"/>
  <c r="O2" i="30"/>
  <c r="P2" i="30"/>
  <c r="Q2" i="30"/>
  <c r="R2" i="30"/>
  <c r="S2" i="30"/>
  <c r="B2" i="30"/>
  <c r="C23" i="29"/>
  <c r="C19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D14" i="29"/>
  <c r="D13" i="29"/>
  <c r="E13" i="29"/>
  <c r="F13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D2" i="29"/>
  <c r="E2" i="29"/>
  <c r="F2" i="29"/>
  <c r="G2" i="29"/>
  <c r="H2" i="29"/>
  <c r="I2" i="29"/>
  <c r="J2" i="29"/>
  <c r="K2" i="29"/>
  <c r="L2" i="29"/>
  <c r="M2" i="29"/>
  <c r="N2" i="29"/>
  <c r="O2" i="29"/>
  <c r="P2" i="29"/>
  <c r="Q2" i="29"/>
  <c r="R2" i="29"/>
  <c r="S2" i="29"/>
  <c r="T2" i="29"/>
  <c r="U2" i="29"/>
  <c r="V2" i="29"/>
  <c r="W2" i="29"/>
  <c r="X2" i="29"/>
  <c r="B2" i="29"/>
  <c r="BH67" i="44"/>
  <c r="ED67" i="44"/>
  <c r="BH7" i="44"/>
  <c r="ED7" i="44"/>
  <c r="BH40" i="44"/>
  <c r="ED40" i="44"/>
  <c r="BI57" i="44"/>
  <c r="EE57" i="44"/>
  <c r="BH36" i="44"/>
  <c r="ED36" i="44"/>
  <c r="BI32" i="44"/>
  <c r="EE32" i="44"/>
  <c r="BI55" i="44"/>
  <c r="EE55" i="44"/>
  <c r="BI30" i="44"/>
  <c r="EE30" i="44"/>
  <c r="BI62" i="44"/>
  <c r="EE62" i="44"/>
  <c r="BH16" i="44"/>
  <c r="ED16" i="44"/>
  <c r="BI45" i="44"/>
  <c r="EE45" i="44"/>
  <c r="BH25" i="44"/>
  <c r="ED25" i="44"/>
  <c r="BI11" i="44"/>
  <c r="EE11" i="44"/>
  <c r="BH27" i="44"/>
  <c r="ED27" i="44"/>
  <c r="BI41" i="44"/>
  <c r="EE41" i="44"/>
  <c r="BH10" i="44"/>
  <c r="ED10" i="44"/>
  <c r="BH21" i="44"/>
  <c r="ED21" i="44"/>
  <c r="BH66" i="44"/>
  <c r="ED66" i="44"/>
  <c r="BI56" i="44"/>
  <c r="EE56" i="44"/>
  <c r="BH42" i="44"/>
  <c r="ED42" i="44"/>
  <c r="BH61" i="44"/>
  <c r="ED61" i="44"/>
  <c r="BH37" i="44"/>
  <c r="ED37" i="44"/>
  <c r="BH52" i="44"/>
  <c r="ED52" i="44"/>
  <c r="BI12" i="44"/>
  <c r="EE12" i="44"/>
  <c r="BH6" i="44"/>
  <c r="ED6" i="44"/>
  <c r="BH35" i="44"/>
  <c r="ED35" i="44"/>
  <c r="BH22" i="44"/>
  <c r="ED22" i="44"/>
  <c r="BH31" i="44"/>
  <c r="ED31" i="44"/>
  <c r="BH5" i="44"/>
  <c r="ED5" i="44"/>
  <c r="BH15" i="44"/>
  <c r="ED15" i="44"/>
  <c r="BH47" i="44"/>
  <c r="ED47" i="44"/>
  <c r="BI50" i="44"/>
  <c r="EE50" i="44"/>
  <c r="BH26" i="44"/>
  <c r="ED26" i="44"/>
  <c r="BI60" i="44"/>
  <c r="EE60" i="44"/>
  <c r="BH65" i="44"/>
  <c r="ED65" i="44"/>
  <c r="BH17" i="44"/>
  <c r="ED17" i="44"/>
  <c r="BH20" i="44"/>
  <c r="ED20" i="44"/>
  <c r="BI51" i="44"/>
  <c r="EE51" i="44"/>
  <c r="BH46" i="44"/>
  <c r="ED46" i="44"/>
  <c r="M77" i="26"/>
  <c r="X26" i="26"/>
  <c r="BC25" i="26"/>
  <c r="X33" i="26"/>
  <c r="AN25" i="26"/>
  <c r="AN24" i="26"/>
  <c r="BC24" i="26"/>
  <c r="BS24" i="26"/>
  <c r="BS59" i="26"/>
  <c r="BD101" i="26"/>
  <c r="BD81" i="26"/>
  <c r="AD2" i="26"/>
  <c r="BH2" i="26"/>
  <c r="AC20" i="26"/>
  <c r="AC18" i="26"/>
  <c r="AC17" i="26"/>
  <c r="AC16" i="26"/>
  <c r="AC15" i="26"/>
  <c r="AC32" i="26" s="1"/>
  <c r="AC14" i="26"/>
  <c r="AC13" i="26"/>
  <c r="AC12" i="26"/>
  <c r="AC11" i="26"/>
  <c r="AC19" i="26"/>
  <c r="AS19" i="26" s="1"/>
  <c r="AC10" i="26"/>
  <c r="AC9" i="26"/>
  <c r="AC8" i="26"/>
  <c r="AC7" i="26"/>
  <c r="AC6" i="26"/>
  <c r="AC31" i="26" s="1"/>
  <c r="AC4" i="26"/>
  <c r="AS4" i="26" s="1"/>
  <c r="AS31" i="26" s="1"/>
  <c r="BG16" i="26"/>
  <c r="CA20" i="44" s="1"/>
  <c r="CZ20" i="44" s="1"/>
  <c r="BG20" i="26"/>
  <c r="CE20" i="44" s="1"/>
  <c r="DD20" i="44" s="1"/>
  <c r="BG7" i="26"/>
  <c r="BR20" i="44" s="1"/>
  <c r="CQ20" i="44" s="1"/>
  <c r="BG8" i="26"/>
  <c r="BG9" i="26"/>
  <c r="BT20" i="44" s="1"/>
  <c r="CS20" i="44" s="1"/>
  <c r="BG10" i="26"/>
  <c r="BU20" i="44" s="1"/>
  <c r="CT20" i="44" s="1"/>
  <c r="BG11" i="26"/>
  <c r="BG18" i="26"/>
  <c r="CC20" i="44" s="1"/>
  <c r="DB20" i="44" s="1"/>
  <c r="BG6" i="26"/>
  <c r="BG12" i="26"/>
  <c r="BW20" i="44" s="1"/>
  <c r="CV20" i="44" s="1"/>
  <c r="BG13" i="26"/>
  <c r="BX20" i="44" s="1"/>
  <c r="CW20" i="44" s="1"/>
  <c r="BG14" i="26"/>
  <c r="BY20" i="44" s="1"/>
  <c r="CX20" i="44" s="1"/>
  <c r="BG15" i="26"/>
  <c r="BZ20" i="44" s="1"/>
  <c r="CY20" i="44" s="1"/>
  <c r="BG17" i="26"/>
  <c r="CB20" i="44" s="1"/>
  <c r="BG19" i="26"/>
  <c r="M95" i="26"/>
  <c r="D19" i="34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I12" i="31"/>
  <c r="E19" i="35"/>
  <c r="D19" i="29"/>
  <c r="J12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M41" i="26"/>
  <c r="G19" i="41"/>
  <c r="H13" i="41"/>
  <c r="I13" i="40"/>
  <c r="H19" i="40"/>
  <c r="E19" i="39"/>
  <c r="G13" i="39"/>
  <c r="F19" i="39"/>
  <c r="F13" i="38"/>
  <c r="E19" i="38"/>
  <c r="G19" i="36"/>
  <c r="H13" i="36"/>
  <c r="D19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X16" i="30"/>
  <c r="Y16" i="30"/>
  <c r="Z16" i="30"/>
  <c r="AA16" i="30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D19" i="32"/>
  <c r="H13" i="35"/>
  <c r="D19" i="35"/>
  <c r="D7" i="35"/>
  <c r="E7" i="35"/>
  <c r="F7" i="35"/>
  <c r="G7" i="35"/>
  <c r="H7" i="35"/>
  <c r="I7" i="35"/>
  <c r="J7" i="35"/>
  <c r="K7" i="35"/>
  <c r="L7" i="35"/>
  <c r="M7" i="35"/>
  <c r="N7" i="35"/>
  <c r="O7" i="35"/>
  <c r="P7" i="35"/>
  <c r="Q7" i="35"/>
  <c r="R7" i="35"/>
  <c r="S7" i="35"/>
  <c r="T7" i="35"/>
  <c r="U7" i="35"/>
  <c r="V7" i="35"/>
  <c r="W7" i="35"/>
  <c r="X7" i="35"/>
  <c r="Y7" i="35"/>
  <c r="Z7" i="35"/>
  <c r="AA7" i="35"/>
  <c r="F15" i="35"/>
  <c r="G15" i="35"/>
  <c r="H15" i="35"/>
  <c r="I15" i="35"/>
  <c r="J15" i="35"/>
  <c r="K15" i="35"/>
  <c r="L15" i="35"/>
  <c r="M15" i="35"/>
  <c r="N15" i="35"/>
  <c r="O15" i="35"/>
  <c r="P15" i="35"/>
  <c r="Q15" i="35"/>
  <c r="R15" i="35"/>
  <c r="S15" i="35"/>
  <c r="T15" i="35"/>
  <c r="U15" i="35"/>
  <c r="V15" i="35"/>
  <c r="W15" i="35"/>
  <c r="X15" i="35"/>
  <c r="Y15" i="35"/>
  <c r="Z15" i="35"/>
  <c r="AA15" i="35"/>
  <c r="G13" i="34"/>
  <c r="E14" i="34"/>
  <c r="D19" i="33"/>
  <c r="E13" i="33"/>
  <c r="E2" i="33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F19" i="32"/>
  <c r="G13" i="32"/>
  <c r="E19" i="32"/>
  <c r="T2" i="30"/>
  <c r="F19" i="30"/>
  <c r="G13" i="30"/>
  <c r="E19" i="30"/>
  <c r="F19" i="29"/>
  <c r="G13" i="29"/>
  <c r="E19" i="29"/>
  <c r="D14" i="8"/>
  <c r="E14" i="8"/>
  <c r="F14" i="8"/>
  <c r="G14" i="8"/>
  <c r="H14" i="8"/>
  <c r="I14" i="8"/>
  <c r="J14" i="8"/>
  <c r="K14" i="8"/>
  <c r="L14" i="8"/>
  <c r="M14" i="8"/>
  <c r="C16" i="8"/>
  <c r="D16" i="8"/>
  <c r="E16" i="8"/>
  <c r="F16" i="8"/>
  <c r="G16" i="8"/>
  <c r="H16" i="8"/>
  <c r="I16" i="8"/>
  <c r="J16" i="8"/>
  <c r="K16" i="8"/>
  <c r="L16" i="8"/>
  <c r="M16" i="8"/>
  <c r="B12" i="8"/>
  <c r="C23" i="28"/>
  <c r="C19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D13" i="28"/>
  <c r="D19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D2" i="28"/>
  <c r="E2" i="28"/>
  <c r="F2" i="28"/>
  <c r="G2" i="28"/>
  <c r="H2" i="28"/>
  <c r="I2" i="28"/>
  <c r="J2" i="28"/>
  <c r="K2" i="28"/>
  <c r="L2" i="28"/>
  <c r="M2" i="28"/>
  <c r="N2" i="28"/>
  <c r="O2" i="28"/>
  <c r="P2" i="28"/>
  <c r="Q2" i="28"/>
  <c r="R2" i="28"/>
  <c r="S2" i="28"/>
  <c r="T2" i="28"/>
  <c r="U2" i="28"/>
  <c r="V2" i="28"/>
  <c r="W2" i="28"/>
  <c r="X2" i="28"/>
  <c r="B2" i="28"/>
  <c r="BI17" i="44"/>
  <c r="EE17" i="44"/>
  <c r="BI26" i="44"/>
  <c r="EE26" i="44"/>
  <c r="BI47" i="44"/>
  <c r="EE47" i="44"/>
  <c r="BI6" i="44"/>
  <c r="EE6" i="44"/>
  <c r="BJ12" i="44"/>
  <c r="EG12" i="44"/>
  <c r="EF12" i="44"/>
  <c r="AP12" i="44"/>
  <c r="BI52" i="44"/>
  <c r="EE52" i="44"/>
  <c r="BJ56" i="44"/>
  <c r="EG56" i="44"/>
  <c r="EF56" i="44"/>
  <c r="DM56" i="44"/>
  <c r="AP56" i="44"/>
  <c r="BI21" i="44"/>
  <c r="EE21" i="44"/>
  <c r="BJ11" i="44"/>
  <c r="EG11" i="44"/>
  <c r="EF11" i="44"/>
  <c r="AP11" i="44"/>
  <c r="BI25" i="44"/>
  <c r="EE25" i="44"/>
  <c r="BJ45" i="44"/>
  <c r="EG45" i="44"/>
  <c r="EF45" i="44"/>
  <c r="DM45" i="44"/>
  <c r="AP45" i="44"/>
  <c r="BI16" i="44"/>
  <c r="EE16" i="44"/>
  <c r="BJ62" i="44"/>
  <c r="EG62" i="44"/>
  <c r="EF62" i="44"/>
  <c r="AP62" i="44"/>
  <c r="BJ30" i="44"/>
  <c r="EG30" i="44"/>
  <c r="EF30" i="44"/>
  <c r="DM30" i="44"/>
  <c r="AP30" i="44"/>
  <c r="BJ55" i="44"/>
  <c r="EG55" i="44"/>
  <c r="EF55" i="44"/>
  <c r="AP55" i="44"/>
  <c r="BJ32" i="44"/>
  <c r="EG32" i="44"/>
  <c r="EF32" i="44"/>
  <c r="DM32" i="44"/>
  <c r="AP32" i="44"/>
  <c r="BI36" i="44"/>
  <c r="EE36" i="44"/>
  <c r="BI46" i="44"/>
  <c r="EE46" i="44"/>
  <c r="BJ51" i="44"/>
  <c r="EG51" i="44"/>
  <c r="EF51" i="44"/>
  <c r="AP51" i="44"/>
  <c r="BI20" i="44"/>
  <c r="EE20" i="44"/>
  <c r="BI65" i="44"/>
  <c r="EE65" i="44"/>
  <c r="BJ60" i="44"/>
  <c r="EG60" i="44"/>
  <c r="EF60" i="44"/>
  <c r="DM60" i="44"/>
  <c r="AP60" i="44"/>
  <c r="BJ50" i="44"/>
  <c r="EG50" i="44"/>
  <c r="EF50" i="44"/>
  <c r="AP50" i="44"/>
  <c r="BI15" i="44"/>
  <c r="EE15" i="44"/>
  <c r="BI5" i="44"/>
  <c r="EE5" i="44"/>
  <c r="BI31" i="44"/>
  <c r="EE31" i="44"/>
  <c r="BI22" i="44"/>
  <c r="EE22" i="44"/>
  <c r="BI35" i="44"/>
  <c r="EE35" i="44"/>
  <c r="BI37" i="44"/>
  <c r="EE37" i="44"/>
  <c r="BI61" i="44"/>
  <c r="EE61" i="44"/>
  <c r="BI42" i="44"/>
  <c r="EE42" i="44"/>
  <c r="BI66" i="44"/>
  <c r="EE66" i="44"/>
  <c r="BI10" i="44"/>
  <c r="EE10" i="44"/>
  <c r="BJ41" i="44"/>
  <c r="EG41" i="44"/>
  <c r="EF41" i="44"/>
  <c r="AP41" i="44"/>
  <c r="BI27" i="44"/>
  <c r="EE27" i="44"/>
  <c r="BJ57" i="44"/>
  <c r="EF57" i="44"/>
  <c r="BI40" i="44"/>
  <c r="EE40" i="44"/>
  <c r="BI7" i="44"/>
  <c r="EE7" i="44"/>
  <c r="BI67" i="44"/>
  <c r="EE67" i="44"/>
  <c r="E24" i="42"/>
  <c r="X63" i="26"/>
  <c r="X48" i="26"/>
  <c r="X55" i="26"/>
  <c r="AN34" i="26"/>
  <c r="AN33" i="26"/>
  <c r="AN26" i="26"/>
  <c r="BC26" i="26"/>
  <c r="BS25" i="26"/>
  <c r="BS60" i="26"/>
  <c r="BD102" i="26"/>
  <c r="BD82" i="26"/>
  <c r="BH19" i="26"/>
  <c r="CD25" i="44" s="1"/>
  <c r="DC25" i="44" s="1"/>
  <c r="BH17" i="26"/>
  <c r="CB25" i="44" s="1"/>
  <c r="DA25" i="44" s="1"/>
  <c r="BH7" i="26"/>
  <c r="BR25" i="44" s="1"/>
  <c r="BH8" i="26"/>
  <c r="BS25" i="44" s="1"/>
  <c r="CR25" i="44" s="1"/>
  <c r="BH9" i="26"/>
  <c r="BH10" i="26"/>
  <c r="BH11" i="26"/>
  <c r="BH12" i="26"/>
  <c r="BH13" i="26"/>
  <c r="BX25" i="44" s="1"/>
  <c r="CW25" i="44" s="1"/>
  <c r="BH14" i="26"/>
  <c r="BY25" i="44" s="1"/>
  <c r="CX25" i="44" s="1"/>
  <c r="BH15" i="26"/>
  <c r="BH6" i="26"/>
  <c r="BQ25" i="44" s="1"/>
  <c r="CP25" i="44" s="1"/>
  <c r="BH20" i="26"/>
  <c r="CE25" i="44" s="1"/>
  <c r="DD25" i="44" s="1"/>
  <c r="BH16" i="26"/>
  <c r="CA25" i="44" s="1"/>
  <c r="BH18" i="26"/>
  <c r="AE2" i="26"/>
  <c r="BI2" i="26"/>
  <c r="AD20" i="26"/>
  <c r="AD19" i="26"/>
  <c r="AD18" i="26"/>
  <c r="AD17" i="26"/>
  <c r="AD15" i="26"/>
  <c r="AD32" i="26" s="1"/>
  <c r="AD13" i="26"/>
  <c r="AD11" i="26"/>
  <c r="AD16" i="26"/>
  <c r="AD14" i="26"/>
  <c r="AD12" i="26"/>
  <c r="AD10" i="26"/>
  <c r="AD9" i="26"/>
  <c r="AD8" i="26"/>
  <c r="AD7" i="26"/>
  <c r="AD6" i="26"/>
  <c r="AD31" i="26" s="1"/>
  <c r="AD4" i="26"/>
  <c r="AT4" i="26" s="1"/>
  <c r="AT31" i="26" s="1"/>
  <c r="H19" i="41"/>
  <c r="I13" i="41"/>
  <c r="J13" i="40"/>
  <c r="I19" i="40"/>
  <c r="G19" i="39"/>
  <c r="H13" i="39"/>
  <c r="G13" i="38"/>
  <c r="F19" i="38"/>
  <c r="H19" i="36"/>
  <c r="I13" i="36"/>
  <c r="G19" i="35"/>
  <c r="H19" i="35"/>
  <c r="I13" i="35"/>
  <c r="F19" i="35"/>
  <c r="H13" i="34"/>
  <c r="F14" i="34"/>
  <c r="E19" i="34"/>
  <c r="E19" i="33"/>
  <c r="F13" i="33"/>
  <c r="F2" i="33"/>
  <c r="G19" i="32"/>
  <c r="H13" i="32"/>
  <c r="G19" i="30"/>
  <c r="H13" i="30"/>
  <c r="U2" i="30"/>
  <c r="G19" i="29"/>
  <c r="H13" i="29"/>
  <c r="E13" i="28"/>
  <c r="D6" i="8"/>
  <c r="E6" i="8"/>
  <c r="F6" i="8"/>
  <c r="G6" i="8"/>
  <c r="H6" i="8"/>
  <c r="I6" i="8"/>
  <c r="J6" i="8"/>
  <c r="K6" i="8"/>
  <c r="L6" i="8"/>
  <c r="M6" i="8"/>
  <c r="C8" i="8"/>
  <c r="D8" i="8"/>
  <c r="E8" i="8"/>
  <c r="F8" i="8"/>
  <c r="G8" i="8"/>
  <c r="H8" i="8"/>
  <c r="I8" i="8"/>
  <c r="J8" i="8"/>
  <c r="K8" i="8"/>
  <c r="L8" i="8"/>
  <c r="M8" i="8"/>
  <c r="B4" i="8"/>
  <c r="DM50" i="44"/>
  <c r="DM51" i="44"/>
  <c r="DM55" i="44"/>
  <c r="DM62" i="44"/>
  <c r="DM11" i="44"/>
  <c r="DM12" i="44"/>
  <c r="I6" i="42"/>
  <c r="BJ67" i="44"/>
  <c r="EF67" i="44"/>
  <c r="BJ40" i="44"/>
  <c r="EF40" i="44"/>
  <c r="EG57" i="44"/>
  <c r="DM57" i="44"/>
  <c r="AP57" i="44"/>
  <c r="BJ66" i="44"/>
  <c r="EF66" i="44"/>
  <c r="BJ61" i="44"/>
  <c r="EF61" i="44"/>
  <c r="BJ35" i="44"/>
  <c r="EF35" i="44"/>
  <c r="BJ31" i="44"/>
  <c r="EF31" i="44"/>
  <c r="BJ15" i="44"/>
  <c r="EF15" i="44"/>
  <c r="BJ65" i="44"/>
  <c r="EF65" i="44"/>
  <c r="BJ36" i="44"/>
  <c r="EF36" i="44"/>
  <c r="BJ47" i="44"/>
  <c r="EF47" i="44"/>
  <c r="BJ17" i="44"/>
  <c r="EF17" i="44"/>
  <c r="BJ7" i="44"/>
  <c r="EF7" i="44"/>
  <c r="BJ27" i="44"/>
  <c r="EF27" i="44"/>
  <c r="DM41" i="44"/>
  <c r="BJ10" i="44"/>
  <c r="EF10" i="44"/>
  <c r="BJ42" i="44"/>
  <c r="EF42" i="44"/>
  <c r="BJ37" i="44"/>
  <c r="EF37" i="44"/>
  <c r="BJ22" i="44"/>
  <c r="EF22" i="44"/>
  <c r="BJ5" i="44"/>
  <c r="EF5" i="44"/>
  <c r="BJ20" i="44"/>
  <c r="EF20" i="44"/>
  <c r="BJ46" i="44"/>
  <c r="EF46" i="44"/>
  <c r="BJ16" i="44"/>
  <c r="EF16" i="44"/>
  <c r="BJ25" i="44"/>
  <c r="EF25" i="44"/>
  <c r="BJ21" i="44"/>
  <c r="EF21" i="44"/>
  <c r="BJ52" i="44"/>
  <c r="EF52" i="44"/>
  <c r="BJ6" i="44"/>
  <c r="EF6" i="44"/>
  <c r="BJ26" i="44"/>
  <c r="EF26" i="44"/>
  <c r="E23" i="42"/>
  <c r="BS26" i="26"/>
  <c r="BI18" i="26"/>
  <c r="BI7" i="26"/>
  <c r="BR30" i="44" s="1"/>
  <c r="CQ30" i="44" s="1"/>
  <c r="BI8" i="26"/>
  <c r="BS30" i="44" s="1"/>
  <c r="CR30" i="44" s="1"/>
  <c r="BI9" i="26"/>
  <c r="BI10" i="26"/>
  <c r="BI16" i="26"/>
  <c r="BI20" i="26"/>
  <c r="BI6" i="26"/>
  <c r="BI11" i="26"/>
  <c r="BV30" i="44" s="1"/>
  <c r="BI12" i="26"/>
  <c r="BW30" i="44" s="1"/>
  <c r="BI13" i="26"/>
  <c r="BX30" i="44" s="1"/>
  <c r="BI14" i="26"/>
  <c r="BI15" i="26"/>
  <c r="BI19" i="26"/>
  <c r="CD30" i="44" s="1"/>
  <c r="DC30" i="44" s="1"/>
  <c r="BI17" i="26"/>
  <c r="AE1" i="26"/>
  <c r="AJ35" i="44" s="1"/>
  <c r="BJ2" i="26"/>
  <c r="AE10" i="26"/>
  <c r="AE19" i="26"/>
  <c r="AE9" i="26"/>
  <c r="AE8" i="26"/>
  <c r="AE7" i="26"/>
  <c r="AE6" i="26"/>
  <c r="AF2" i="26"/>
  <c r="AE20" i="26"/>
  <c r="BZ20" i="26" s="1"/>
  <c r="AE18" i="26"/>
  <c r="AE17" i="26"/>
  <c r="AE16" i="26"/>
  <c r="AE15" i="26"/>
  <c r="AE32" i="26" s="1"/>
  <c r="AE14" i="26"/>
  <c r="AE13" i="26"/>
  <c r="AE12" i="26"/>
  <c r="AE11" i="26"/>
  <c r="AE4" i="26"/>
  <c r="J13" i="41"/>
  <c r="I19" i="41"/>
  <c r="K13" i="40"/>
  <c r="J19" i="40"/>
  <c r="I13" i="39"/>
  <c r="H19" i="39"/>
  <c r="G19" i="38"/>
  <c r="H13" i="38"/>
  <c r="I19" i="36"/>
  <c r="J13" i="36"/>
  <c r="J13" i="35"/>
  <c r="I19" i="35"/>
  <c r="I13" i="34"/>
  <c r="G14" i="34"/>
  <c r="F19" i="34"/>
  <c r="G2" i="33"/>
  <c r="F19" i="33"/>
  <c r="G13" i="33"/>
  <c r="H19" i="32"/>
  <c r="I13" i="32"/>
  <c r="V2" i="30"/>
  <c r="H19" i="30"/>
  <c r="I13" i="30"/>
  <c r="H19" i="29"/>
  <c r="I13" i="29"/>
  <c r="E19" i="28"/>
  <c r="F13" i="28"/>
  <c r="EG46" i="44"/>
  <c r="DM46" i="44"/>
  <c r="AP46" i="44"/>
  <c r="EG20" i="44"/>
  <c r="DM20" i="44"/>
  <c r="AP20" i="44"/>
  <c r="EG5" i="44"/>
  <c r="DM5" i="44"/>
  <c r="G14" i="42"/>
  <c r="AP5" i="44"/>
  <c r="EG22" i="44"/>
  <c r="DM22" i="44"/>
  <c r="AP22" i="44"/>
  <c r="EG37" i="44"/>
  <c r="DM37" i="44"/>
  <c r="AP37" i="44"/>
  <c r="EG42" i="44"/>
  <c r="DM42" i="44"/>
  <c r="AP42" i="44"/>
  <c r="EG10" i="44"/>
  <c r="DM10" i="44"/>
  <c r="G6" i="42"/>
  <c r="AP10" i="44"/>
  <c r="EG66" i="44"/>
  <c r="DM66" i="44"/>
  <c r="AP66" i="44"/>
  <c r="EG40" i="44"/>
  <c r="DM40" i="44"/>
  <c r="AP40" i="44"/>
  <c r="EG67" i="44"/>
  <c r="DM67" i="44"/>
  <c r="AP67" i="44"/>
  <c r="EG26" i="44"/>
  <c r="DM26" i="44"/>
  <c r="AP26" i="44"/>
  <c r="EG6" i="44"/>
  <c r="DM6" i="44"/>
  <c r="H14" i="42"/>
  <c r="AP6" i="44"/>
  <c r="EG52" i="44"/>
  <c r="DM52" i="44"/>
  <c r="AP52" i="44"/>
  <c r="EG21" i="44"/>
  <c r="DM21" i="44"/>
  <c r="AP21" i="44"/>
  <c r="EG25" i="44"/>
  <c r="DM25" i="44"/>
  <c r="AP25" i="44"/>
  <c r="EG16" i="44"/>
  <c r="DM16" i="44"/>
  <c r="AP16" i="44"/>
  <c r="EG27" i="44"/>
  <c r="DM27" i="44"/>
  <c r="AP27" i="44"/>
  <c r="EG7" i="44"/>
  <c r="DM7" i="44"/>
  <c r="I14" i="42"/>
  <c r="AP7" i="44"/>
  <c r="EG17" i="44"/>
  <c r="DM17" i="44"/>
  <c r="AP17" i="44"/>
  <c r="EG47" i="44"/>
  <c r="DM47" i="44"/>
  <c r="AP47" i="44"/>
  <c r="EG36" i="44"/>
  <c r="DM36" i="44"/>
  <c r="AP36" i="44"/>
  <c r="EG65" i="44"/>
  <c r="DM65" i="44"/>
  <c r="AP65" i="44"/>
  <c r="EG15" i="44"/>
  <c r="DM15" i="44"/>
  <c r="AP15" i="44"/>
  <c r="EG31" i="44"/>
  <c r="DM31" i="44"/>
  <c r="AP31" i="44"/>
  <c r="EG35" i="44"/>
  <c r="DM35" i="44"/>
  <c r="AP35" i="44"/>
  <c r="EG61" i="44"/>
  <c r="DM61" i="44"/>
  <c r="AP61" i="44"/>
  <c r="E30" i="42"/>
  <c r="BJ17" i="26"/>
  <c r="BJ9" i="26"/>
  <c r="BJ11" i="26"/>
  <c r="BJ13" i="26"/>
  <c r="BJ15" i="26"/>
  <c r="BZ15" i="26" s="1"/>
  <c r="BZ50" i="26" s="1"/>
  <c r="BJ19" i="26"/>
  <c r="BJ6" i="26"/>
  <c r="BJ8" i="26"/>
  <c r="BJ10" i="26"/>
  <c r="BJ12" i="26"/>
  <c r="BJ14" i="26"/>
  <c r="BJ18" i="26"/>
  <c r="BJ7" i="26"/>
  <c r="BJ16" i="26"/>
  <c r="AG2" i="26"/>
  <c r="AF1" i="26"/>
  <c r="AJ40" i="44" s="1"/>
  <c r="BK2" i="26"/>
  <c r="AF20" i="26"/>
  <c r="AF19" i="26"/>
  <c r="AF18" i="26"/>
  <c r="AF17" i="26"/>
  <c r="AF16" i="26"/>
  <c r="AF15" i="26"/>
  <c r="AF32" i="26" s="1"/>
  <c r="AF14" i="26"/>
  <c r="AF13" i="26"/>
  <c r="AF12" i="26"/>
  <c r="AF11" i="26"/>
  <c r="AF10" i="26"/>
  <c r="AF8" i="26"/>
  <c r="AF6" i="26"/>
  <c r="AF9" i="26"/>
  <c r="AF7" i="26"/>
  <c r="AF4" i="26"/>
  <c r="J19" i="41"/>
  <c r="K13" i="41"/>
  <c r="K19" i="40"/>
  <c r="L13" i="40"/>
  <c r="I19" i="39"/>
  <c r="J13" i="39"/>
  <c r="H19" i="38"/>
  <c r="I13" i="38"/>
  <c r="J19" i="36"/>
  <c r="K13" i="36"/>
  <c r="K13" i="35"/>
  <c r="J19" i="35"/>
  <c r="H14" i="34"/>
  <c r="G19" i="34"/>
  <c r="J13" i="34"/>
  <c r="H2" i="33"/>
  <c r="G19" i="33"/>
  <c r="H13" i="33"/>
  <c r="J13" i="32"/>
  <c r="I19" i="32"/>
  <c r="J13" i="30"/>
  <c r="I19" i="30"/>
  <c r="W2" i="30"/>
  <c r="J13" i="29"/>
  <c r="I19" i="29"/>
  <c r="F19" i="28"/>
  <c r="G13" i="28"/>
  <c r="E29" i="42"/>
  <c r="E25" i="42"/>
  <c r="BK16" i="26"/>
  <c r="BK20" i="26"/>
  <c r="BK8" i="26"/>
  <c r="CA8" i="26" s="1"/>
  <c r="N43" i="44" s="1"/>
  <c r="BS40" i="44" s="1"/>
  <c r="BK10" i="26"/>
  <c r="BK12" i="26"/>
  <c r="BK14" i="26"/>
  <c r="CA14" i="26" s="1"/>
  <c r="T43" i="44" s="1"/>
  <c r="BY40" i="44" s="1"/>
  <c r="BK18" i="26"/>
  <c r="BK7" i="26"/>
  <c r="BK9" i="26"/>
  <c r="CA9" i="26" s="1"/>
  <c r="BK11" i="26"/>
  <c r="BK13" i="26"/>
  <c r="CA13" i="26" s="1"/>
  <c r="BK15" i="26"/>
  <c r="BK6" i="26"/>
  <c r="BK5" i="26" s="1"/>
  <c r="CA5" i="26" s="1"/>
  <c r="CA40" i="26" s="1"/>
  <c r="BK19" i="26"/>
  <c r="BK17" i="26"/>
  <c r="CA17" i="26" s="1"/>
  <c r="W43" i="44" s="1"/>
  <c r="AH2" i="26"/>
  <c r="AG1" i="26"/>
  <c r="AJ45" i="44" s="1"/>
  <c r="BL2" i="26"/>
  <c r="AG20" i="26"/>
  <c r="AG18" i="26"/>
  <c r="AG17" i="26"/>
  <c r="AG16" i="26"/>
  <c r="AG15" i="26"/>
  <c r="AG14" i="26"/>
  <c r="AG13" i="26"/>
  <c r="AG12" i="26"/>
  <c r="AG11" i="26"/>
  <c r="AG10" i="26"/>
  <c r="AG19" i="26"/>
  <c r="AG9" i="26"/>
  <c r="AG8" i="26"/>
  <c r="AG7" i="26"/>
  <c r="AG6" i="26"/>
  <c r="AG4" i="26"/>
  <c r="AG30" i="26" s="1"/>
  <c r="K19" i="41"/>
  <c r="L13" i="41"/>
  <c r="L19" i="40"/>
  <c r="M13" i="40"/>
  <c r="J19" i="39"/>
  <c r="K13" i="39"/>
  <c r="I19" i="38"/>
  <c r="J13" i="38"/>
  <c r="K19" i="36"/>
  <c r="L13" i="36"/>
  <c r="K19" i="35"/>
  <c r="L13" i="35"/>
  <c r="K13" i="34"/>
  <c r="I14" i="34"/>
  <c r="H19" i="34"/>
  <c r="H19" i="33"/>
  <c r="I13" i="33"/>
  <c r="I2" i="33"/>
  <c r="J19" i="32"/>
  <c r="K13" i="32"/>
  <c r="X2" i="30"/>
  <c r="J19" i="30"/>
  <c r="K13" i="30"/>
  <c r="J19" i="29"/>
  <c r="K13" i="29"/>
  <c r="G19" i="28"/>
  <c r="H13" i="28"/>
  <c r="E21" i="42"/>
  <c r="BL19" i="26"/>
  <c r="BL6" i="26"/>
  <c r="BL9" i="26"/>
  <c r="BL11" i="26"/>
  <c r="BL13" i="26"/>
  <c r="BL15" i="26"/>
  <c r="BL17" i="26"/>
  <c r="BL8" i="26"/>
  <c r="BL10" i="26"/>
  <c r="BL12" i="26"/>
  <c r="BL14" i="26"/>
  <c r="BL7" i="26"/>
  <c r="BL16" i="26"/>
  <c r="BL20" i="26"/>
  <c r="BL18" i="26"/>
  <c r="AI2" i="26"/>
  <c r="AH1" i="26"/>
  <c r="AJ50" i="44" s="1"/>
  <c r="BM2" i="26"/>
  <c r="AH20" i="26"/>
  <c r="AH19" i="26"/>
  <c r="AH18" i="26"/>
  <c r="AH17" i="26"/>
  <c r="AH16" i="26"/>
  <c r="AH14" i="26"/>
  <c r="AH12" i="26"/>
  <c r="AH15" i="26"/>
  <c r="AH32" i="26" s="1"/>
  <c r="AH13" i="26"/>
  <c r="AH11" i="26"/>
  <c r="AH10" i="26"/>
  <c r="AH9" i="26"/>
  <c r="AH8" i="26"/>
  <c r="AH7" i="26"/>
  <c r="BN76" i="26" s="1"/>
  <c r="AH6" i="26"/>
  <c r="AH4" i="26"/>
  <c r="L19" i="41"/>
  <c r="M13" i="41"/>
  <c r="M19" i="40"/>
  <c r="N13" i="40"/>
  <c r="K19" i="39"/>
  <c r="L13" i="39"/>
  <c r="K13" i="38"/>
  <c r="J19" i="38"/>
  <c r="M13" i="36"/>
  <c r="L19" i="36"/>
  <c r="L19" i="35"/>
  <c r="M13" i="35"/>
  <c r="J14" i="34"/>
  <c r="I19" i="34"/>
  <c r="L13" i="34"/>
  <c r="J2" i="33"/>
  <c r="I19" i="33"/>
  <c r="J13" i="33"/>
  <c r="K19" i="32"/>
  <c r="L13" i="32"/>
  <c r="K19" i="30"/>
  <c r="L13" i="30"/>
  <c r="K19" i="29"/>
  <c r="L13" i="29"/>
  <c r="H19" i="28"/>
  <c r="I13" i="28"/>
  <c r="BM18" i="26"/>
  <c r="BM7" i="26"/>
  <c r="BM8" i="26"/>
  <c r="CC8" i="26" s="1"/>
  <c r="BM10" i="26"/>
  <c r="BM12" i="26"/>
  <c r="BM14" i="26"/>
  <c r="BM16" i="26"/>
  <c r="BM20" i="26"/>
  <c r="BM9" i="26"/>
  <c r="BM11" i="26"/>
  <c r="BM13" i="26"/>
  <c r="CC13" i="26" s="1"/>
  <c r="S53" i="44" s="1"/>
  <c r="BX50" i="44" s="1"/>
  <c r="CW50" i="44" s="1"/>
  <c r="BM15" i="26"/>
  <c r="BM19" i="26"/>
  <c r="BM6" i="26"/>
  <c r="BM5" i="26" s="1"/>
  <c r="CC5" i="26" s="1"/>
  <c r="K53" i="44" s="1"/>
  <c r="BP50" i="44" s="1"/>
  <c r="CO50" i="44" s="1"/>
  <c r="BM17" i="26"/>
  <c r="AJ2" i="26"/>
  <c r="AI1" i="26"/>
  <c r="AJ55" i="44" s="1"/>
  <c r="BN2" i="26"/>
  <c r="AI9" i="26"/>
  <c r="AI8" i="26"/>
  <c r="AI7" i="26"/>
  <c r="AI6" i="26"/>
  <c r="AI17" i="26"/>
  <c r="AI16" i="26"/>
  <c r="AI15" i="26"/>
  <c r="AI14" i="26"/>
  <c r="AI13" i="26"/>
  <c r="AI12" i="26"/>
  <c r="AI11" i="26"/>
  <c r="AI10" i="26"/>
  <c r="AI4" i="26"/>
  <c r="AI18" i="26"/>
  <c r="AI20" i="26"/>
  <c r="AI19" i="26"/>
  <c r="M19" i="41"/>
  <c r="N13" i="41"/>
  <c r="O13" i="40"/>
  <c r="N19" i="40"/>
  <c r="M13" i="39"/>
  <c r="L19" i="39"/>
  <c r="L13" i="38"/>
  <c r="K19" i="38"/>
  <c r="M19" i="36"/>
  <c r="N13" i="36"/>
  <c r="M19" i="35"/>
  <c r="N13" i="35"/>
  <c r="M13" i="34"/>
  <c r="K14" i="34"/>
  <c r="J19" i="34"/>
  <c r="K13" i="33"/>
  <c r="J19" i="33"/>
  <c r="K2" i="33"/>
  <c r="L19" i="32"/>
  <c r="M13" i="32"/>
  <c r="L19" i="30"/>
  <c r="M13" i="30"/>
  <c r="L19" i="29"/>
  <c r="M13" i="29"/>
  <c r="I19" i="28"/>
  <c r="J13" i="28"/>
  <c r="BN17" i="26"/>
  <c r="BN9" i="26"/>
  <c r="BN11" i="26"/>
  <c r="BN13" i="26"/>
  <c r="BN15" i="26"/>
  <c r="BN19" i="26"/>
  <c r="CD19" i="26" s="1"/>
  <c r="CD54" i="26" s="1"/>
  <c r="BN6" i="26"/>
  <c r="BN5" i="26" s="1"/>
  <c r="CD5" i="26" s="1"/>
  <c r="BN8" i="26"/>
  <c r="CD8" i="26" s="1"/>
  <c r="BN10" i="26"/>
  <c r="BN12" i="26"/>
  <c r="BN14" i="26"/>
  <c r="BN20" i="26"/>
  <c r="BN18" i="26"/>
  <c r="BN7" i="26"/>
  <c r="BN16" i="26"/>
  <c r="AK2" i="26"/>
  <c r="AJ1" i="26"/>
  <c r="AJ60" i="44" s="1"/>
  <c r="BO2" i="26"/>
  <c r="AJ20" i="26"/>
  <c r="AJ19" i="26"/>
  <c r="AJ18" i="26"/>
  <c r="AJ17" i="26"/>
  <c r="AJ16" i="26"/>
  <c r="AJ15" i="26"/>
  <c r="AJ14" i="26"/>
  <c r="AJ13" i="26"/>
  <c r="AJ12" i="26"/>
  <c r="AJ11" i="26"/>
  <c r="AJ10" i="26"/>
  <c r="AJ9" i="26"/>
  <c r="AJ7" i="26"/>
  <c r="AJ4" i="26"/>
  <c r="AJ8" i="26"/>
  <c r="AJ6" i="26"/>
  <c r="AJ31" i="26" s="1"/>
  <c r="O13" i="41"/>
  <c r="N19" i="41"/>
  <c r="O19" i="40"/>
  <c r="P13" i="40"/>
  <c r="N13" i="39"/>
  <c r="M19" i="39"/>
  <c r="L19" i="38"/>
  <c r="M13" i="38"/>
  <c r="N19" i="36"/>
  <c r="O13" i="36"/>
  <c r="O13" i="35"/>
  <c r="N19" i="35"/>
  <c r="N13" i="34"/>
  <c r="L14" i="34"/>
  <c r="K19" i="34"/>
  <c r="L2" i="33"/>
  <c r="K19" i="33"/>
  <c r="L13" i="33"/>
  <c r="M19" i="32"/>
  <c r="N13" i="32"/>
  <c r="M19" i="30"/>
  <c r="N13" i="30"/>
  <c r="M19" i="29"/>
  <c r="N13" i="29"/>
  <c r="J19" i="28"/>
  <c r="K13" i="28"/>
  <c r="BO16" i="26"/>
  <c r="BO20" i="26"/>
  <c r="BO8" i="26"/>
  <c r="BO10" i="26"/>
  <c r="BO12" i="26"/>
  <c r="BO14" i="26"/>
  <c r="BO18" i="26"/>
  <c r="BO7" i="26"/>
  <c r="BO9" i="26"/>
  <c r="BO11" i="26"/>
  <c r="BO13" i="26"/>
  <c r="BO15" i="26"/>
  <c r="BO6" i="26"/>
  <c r="BO5" i="26" s="1"/>
  <c r="CE5" i="26" s="1"/>
  <c r="BO17" i="26"/>
  <c r="CE17" i="26" s="1"/>
  <c r="BO19" i="26"/>
  <c r="AL2" i="26"/>
  <c r="AM2" i="26"/>
  <c r="AN2" i="26"/>
  <c r="AK1" i="26"/>
  <c r="AJ65" i="44" s="1"/>
  <c r="BP2" i="26"/>
  <c r="AK19" i="26"/>
  <c r="AK17" i="26"/>
  <c r="AK16" i="26"/>
  <c r="AK15" i="26"/>
  <c r="AK14" i="26"/>
  <c r="AK13" i="26"/>
  <c r="AK12" i="26"/>
  <c r="AK11" i="26"/>
  <c r="AK10" i="26"/>
  <c r="AK20" i="26"/>
  <c r="AK18" i="26"/>
  <c r="AK9" i="26"/>
  <c r="AK8" i="26"/>
  <c r="AK7" i="26"/>
  <c r="BQ64" i="26" s="1"/>
  <c r="AK6" i="26"/>
  <c r="AK31" i="26" s="1"/>
  <c r="AK4" i="26"/>
  <c r="BA4" i="26" s="1"/>
  <c r="BA31" i="26" s="1"/>
  <c r="O19" i="41"/>
  <c r="P13" i="41"/>
  <c r="P19" i="40"/>
  <c r="Q13" i="40"/>
  <c r="N19" i="39"/>
  <c r="O13" i="39"/>
  <c r="M19" i="38"/>
  <c r="N13" i="38"/>
  <c r="O19" i="36"/>
  <c r="P13" i="36"/>
  <c r="O19" i="35"/>
  <c r="P13" i="35"/>
  <c r="M14" i="34"/>
  <c r="L19" i="34"/>
  <c r="O13" i="34"/>
  <c r="L19" i="33"/>
  <c r="M13" i="33"/>
  <c r="M2" i="33"/>
  <c r="O13" i="32"/>
  <c r="N19" i="32"/>
  <c r="O13" i="30"/>
  <c r="N19" i="30"/>
  <c r="O13" i="29"/>
  <c r="N19" i="29"/>
  <c r="K19" i="28"/>
  <c r="L13" i="28"/>
  <c r="E26" i="42"/>
  <c r="E22" i="42"/>
  <c r="BP19" i="26"/>
  <c r="CF19" i="26" s="1"/>
  <c r="BP6" i="26"/>
  <c r="BP5" i="26" s="1"/>
  <c r="CF5" i="26" s="1"/>
  <c r="CF40" i="26" s="1"/>
  <c r="BP7" i="26"/>
  <c r="BP9" i="26"/>
  <c r="CF9" i="26" s="1"/>
  <c r="BP11" i="26"/>
  <c r="BP13" i="26"/>
  <c r="CF13" i="26" s="1"/>
  <c r="BP15" i="26"/>
  <c r="BP17" i="26"/>
  <c r="BP8" i="26"/>
  <c r="CF8" i="26" s="1"/>
  <c r="CF43" i="26" s="1"/>
  <c r="BP10" i="26"/>
  <c r="BP12" i="26"/>
  <c r="CF12" i="26" s="1"/>
  <c r="BP14" i="26"/>
  <c r="BP16" i="26"/>
  <c r="BP20" i="26"/>
  <c r="CF20" i="26" s="1"/>
  <c r="CU20" i="26" s="1"/>
  <c r="BP18" i="26"/>
  <c r="CF18" i="26" s="1"/>
  <c r="CF53" i="26" s="1"/>
  <c r="P19" i="41"/>
  <c r="Q13" i="41"/>
  <c r="Q19" i="40"/>
  <c r="R13" i="40"/>
  <c r="S13" i="40"/>
  <c r="O19" i="39"/>
  <c r="P13" i="39"/>
  <c r="O13" i="38"/>
  <c r="N19" i="38"/>
  <c r="P19" i="36"/>
  <c r="Q13" i="36"/>
  <c r="Q13" i="35"/>
  <c r="P19" i="35"/>
  <c r="P13" i="34"/>
  <c r="N14" i="34"/>
  <c r="M19" i="34"/>
  <c r="N2" i="33"/>
  <c r="N13" i="33"/>
  <c r="M19" i="33"/>
  <c r="O19" i="32"/>
  <c r="P13" i="32"/>
  <c r="O19" i="30"/>
  <c r="P13" i="30"/>
  <c r="O19" i="29"/>
  <c r="P13" i="29"/>
  <c r="L19" i="28"/>
  <c r="M13" i="28"/>
  <c r="E20" i="42"/>
  <c r="S19" i="40"/>
  <c r="T13" i="40"/>
  <c r="Q19" i="41"/>
  <c r="R13" i="41"/>
  <c r="S13" i="41"/>
  <c r="R19" i="40"/>
  <c r="P19" i="39"/>
  <c r="Q13" i="39"/>
  <c r="P13" i="38"/>
  <c r="O19" i="38"/>
  <c r="R13" i="36"/>
  <c r="S13" i="36"/>
  <c r="Q19" i="36"/>
  <c r="R13" i="35"/>
  <c r="S13" i="35"/>
  <c r="Q19" i="35"/>
  <c r="Q13" i="34"/>
  <c r="O14" i="34"/>
  <c r="N19" i="34"/>
  <c r="N19" i="33"/>
  <c r="O13" i="33"/>
  <c r="O2" i="33"/>
  <c r="P19" i="32"/>
  <c r="Q13" i="32"/>
  <c r="P19" i="30"/>
  <c r="Q13" i="30"/>
  <c r="P19" i="29"/>
  <c r="Q13" i="29"/>
  <c r="M19" i="28"/>
  <c r="N13" i="28"/>
  <c r="E31" i="42"/>
  <c r="S19" i="35"/>
  <c r="T13" i="35"/>
  <c r="S19" i="36"/>
  <c r="T13" i="36"/>
  <c r="S19" i="41"/>
  <c r="T13" i="41"/>
  <c r="T19" i="40"/>
  <c r="U13" i="40"/>
  <c r="R19" i="41"/>
  <c r="R13" i="39"/>
  <c r="S13" i="39"/>
  <c r="Q19" i="39"/>
  <c r="P19" i="38"/>
  <c r="Q13" i="38"/>
  <c r="R19" i="36"/>
  <c r="R19" i="35"/>
  <c r="P14" i="34"/>
  <c r="O19" i="34"/>
  <c r="R13" i="34"/>
  <c r="S13" i="34"/>
  <c r="O19" i="33"/>
  <c r="P13" i="33"/>
  <c r="P2" i="33"/>
  <c r="Q19" i="32"/>
  <c r="R13" i="32"/>
  <c r="S13" i="32"/>
  <c r="Q19" i="30"/>
  <c r="R13" i="30"/>
  <c r="Q19" i="29"/>
  <c r="R13" i="29"/>
  <c r="S13" i="29"/>
  <c r="N19" i="28"/>
  <c r="O13" i="28"/>
  <c r="S19" i="29"/>
  <c r="T13" i="29"/>
  <c r="S19" i="32"/>
  <c r="T13" i="32"/>
  <c r="T13" i="34"/>
  <c r="S19" i="39"/>
  <c r="T13" i="39"/>
  <c r="U19" i="40"/>
  <c r="V13" i="40"/>
  <c r="T19" i="41"/>
  <c r="U13" i="41"/>
  <c r="T19" i="36"/>
  <c r="U13" i="36"/>
  <c r="T19" i="35"/>
  <c r="U13" i="35"/>
  <c r="R19" i="39"/>
  <c r="R13" i="38"/>
  <c r="S13" i="38"/>
  <c r="Q19" i="38"/>
  <c r="Q14" i="34"/>
  <c r="P19" i="34"/>
  <c r="Q2" i="33"/>
  <c r="P19" i="33"/>
  <c r="Q13" i="33"/>
  <c r="R19" i="32"/>
  <c r="R19" i="30"/>
  <c r="S13" i="30"/>
  <c r="R19" i="29"/>
  <c r="O19" i="28"/>
  <c r="P13" i="28"/>
  <c r="E27" i="42"/>
  <c r="S19" i="38"/>
  <c r="T13" i="38"/>
  <c r="U19" i="35"/>
  <c r="V13" i="35"/>
  <c r="U19" i="36"/>
  <c r="V13" i="36"/>
  <c r="U19" i="41"/>
  <c r="V13" i="41"/>
  <c r="W13" i="40"/>
  <c r="V19" i="40"/>
  <c r="T19" i="39"/>
  <c r="U13" i="39"/>
  <c r="U13" i="34"/>
  <c r="T19" i="32"/>
  <c r="U13" i="32"/>
  <c r="T19" i="29"/>
  <c r="U13" i="29"/>
  <c r="R19" i="38"/>
  <c r="R14" i="34"/>
  <c r="S14" i="34"/>
  <c r="Q19" i="34"/>
  <c r="R13" i="33"/>
  <c r="S13" i="33"/>
  <c r="Q19" i="33"/>
  <c r="R2" i="33"/>
  <c r="S2" i="33"/>
  <c r="T2" i="33"/>
  <c r="U2" i="33"/>
  <c r="V2" i="33"/>
  <c r="W2" i="33"/>
  <c r="X2" i="33"/>
  <c r="S19" i="30"/>
  <c r="T13" i="30"/>
  <c r="P19" i="28"/>
  <c r="Q13" i="28"/>
  <c r="W19" i="40"/>
  <c r="X13" i="40"/>
  <c r="S19" i="33"/>
  <c r="T13" i="33"/>
  <c r="T14" i="34"/>
  <c r="S19" i="34"/>
  <c r="U19" i="29"/>
  <c r="V13" i="29"/>
  <c r="U19" i="32"/>
  <c r="V13" i="32"/>
  <c r="V13" i="34"/>
  <c r="U19" i="39"/>
  <c r="V13" i="39"/>
  <c r="W13" i="41"/>
  <c r="V19" i="41"/>
  <c r="W13" i="36"/>
  <c r="V19" i="36"/>
  <c r="W13" i="35"/>
  <c r="V19" i="35"/>
  <c r="T19" i="38"/>
  <c r="U13" i="38"/>
  <c r="R19" i="34"/>
  <c r="R19" i="33"/>
  <c r="U13" i="30"/>
  <c r="T19" i="30"/>
  <c r="Q19" i="28"/>
  <c r="R13" i="28"/>
  <c r="S13" i="28"/>
  <c r="E28" i="42"/>
  <c r="W19" i="36"/>
  <c r="X13" i="36"/>
  <c r="W19" i="41"/>
  <c r="X13" i="41"/>
  <c r="U14" i="34"/>
  <c r="T19" i="34"/>
  <c r="S19" i="28"/>
  <c r="T13" i="28"/>
  <c r="U19" i="38"/>
  <c r="V13" i="38"/>
  <c r="W13" i="39"/>
  <c r="V19" i="39"/>
  <c r="W13" i="34"/>
  <c r="W13" i="32"/>
  <c r="V19" i="32"/>
  <c r="W13" i="29"/>
  <c r="V19" i="29"/>
  <c r="T19" i="33"/>
  <c r="U13" i="33"/>
  <c r="Y13" i="40"/>
  <c r="Z13" i="40"/>
  <c r="AA13" i="40"/>
  <c r="X19" i="40"/>
  <c r="W19" i="35"/>
  <c r="X13" i="35"/>
  <c r="U19" i="30"/>
  <c r="V13" i="30"/>
  <c r="R19" i="28"/>
  <c r="E19" i="42"/>
  <c r="Y13" i="35"/>
  <c r="Z13" i="35"/>
  <c r="AA13" i="35"/>
  <c r="X19" i="35"/>
  <c r="U19" i="33"/>
  <c r="V13" i="33"/>
  <c r="W13" i="38"/>
  <c r="V19" i="38"/>
  <c r="T19" i="28"/>
  <c r="U13" i="28"/>
  <c r="Y13" i="41"/>
  <c r="Z13" i="41"/>
  <c r="AA13" i="41"/>
  <c r="X19" i="41"/>
  <c r="Y13" i="36"/>
  <c r="Z13" i="36"/>
  <c r="AA13" i="36"/>
  <c r="X19" i="36"/>
  <c r="W19" i="29"/>
  <c r="X13" i="29"/>
  <c r="W19" i="32"/>
  <c r="X13" i="32"/>
  <c r="X13" i="34"/>
  <c r="W19" i="39"/>
  <c r="X13" i="39"/>
  <c r="V14" i="34"/>
  <c r="U19" i="34"/>
  <c r="V19" i="30"/>
  <c r="W13" i="30"/>
  <c r="H6" i="42"/>
  <c r="H12" i="42"/>
  <c r="I8" i="42"/>
  <c r="H9" i="42"/>
  <c r="G12" i="42"/>
  <c r="G5" i="42"/>
  <c r="H8" i="42"/>
  <c r="G10" i="42"/>
  <c r="H13" i="42"/>
  <c r="G7" i="42"/>
  <c r="G11" i="42"/>
  <c r="I7" i="42"/>
  <c r="G8" i="42"/>
  <c r="I5" i="42"/>
  <c r="H15" i="42"/>
  <c r="G4" i="42"/>
  <c r="I9" i="42"/>
  <c r="G13" i="42"/>
  <c r="I15" i="42"/>
  <c r="G15" i="42"/>
  <c r="H5" i="42"/>
  <c r="I4" i="42"/>
  <c r="H10" i="42"/>
  <c r="H11" i="42"/>
  <c r="G16" i="42"/>
  <c r="H7" i="42"/>
  <c r="I10" i="42"/>
  <c r="I12" i="42"/>
  <c r="I11" i="42"/>
  <c r="H4" i="42"/>
  <c r="G9" i="42"/>
  <c r="H16" i="42"/>
  <c r="I13" i="42"/>
  <c r="I16" i="42"/>
  <c r="Y13" i="39"/>
  <c r="Z13" i="39"/>
  <c r="AA13" i="39"/>
  <c r="X19" i="39"/>
  <c r="Y13" i="34"/>
  <c r="Z13" i="34"/>
  <c r="AA13" i="34"/>
  <c r="Y13" i="32"/>
  <c r="Z13" i="32"/>
  <c r="AA13" i="32"/>
  <c r="X19" i="32"/>
  <c r="Y13" i="29"/>
  <c r="Z13" i="29"/>
  <c r="AA13" i="29"/>
  <c r="X19" i="29"/>
  <c r="U19" i="28"/>
  <c r="V13" i="28"/>
  <c r="W13" i="33"/>
  <c r="V19" i="33"/>
  <c r="W14" i="34"/>
  <c r="V19" i="34"/>
  <c r="W19" i="38"/>
  <c r="X13" i="38"/>
  <c r="W19" i="30"/>
  <c r="X13" i="30"/>
  <c r="X19" i="30"/>
  <c r="Y13" i="30"/>
  <c r="Z13" i="30"/>
  <c r="AA13" i="30"/>
  <c r="Y13" i="38"/>
  <c r="Z13" i="38"/>
  <c r="AA13" i="38"/>
  <c r="X19" i="38"/>
  <c r="W13" i="28"/>
  <c r="V19" i="28"/>
  <c r="X14" i="34"/>
  <c r="W19" i="34"/>
  <c r="W19" i="33"/>
  <c r="X13" i="33"/>
  <c r="B1" i="26"/>
  <c r="C1" i="26"/>
  <c r="D1" i="26"/>
  <c r="E1" i="26"/>
  <c r="F1" i="26"/>
  <c r="G1" i="26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B2" i="27"/>
  <c r="C23" i="27"/>
  <c r="C19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D13" i="27"/>
  <c r="E13" i="27"/>
  <c r="D2" i="27"/>
  <c r="E2" i="27"/>
  <c r="F2" i="27"/>
  <c r="G2" i="27"/>
  <c r="H2" i="27"/>
  <c r="I2" i="27"/>
  <c r="J2" i="27"/>
  <c r="K2" i="27"/>
  <c r="L2" i="27"/>
  <c r="M2" i="27"/>
  <c r="N2" i="27"/>
  <c r="O2" i="27"/>
  <c r="P2" i="27"/>
  <c r="Q2" i="27"/>
  <c r="R2" i="27"/>
  <c r="S2" i="27"/>
  <c r="T2" i="27"/>
  <c r="U2" i="27"/>
  <c r="V2" i="27"/>
  <c r="W2" i="27"/>
  <c r="X2" i="27"/>
  <c r="A23" i="26"/>
  <c r="A5" i="26"/>
  <c r="O5" i="26"/>
  <c r="M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B219" i="26"/>
  <c r="B220" i="26"/>
  <c r="B221" i="26"/>
  <c r="B222" i="26"/>
  <c r="B223" i="26"/>
  <c r="B224" i="26"/>
  <c r="B225" i="26"/>
  <c r="B226" i="26"/>
  <c r="B227" i="26"/>
  <c r="B228" i="26"/>
  <c r="B229" i="26"/>
  <c r="B230" i="26"/>
  <c r="B231" i="26"/>
  <c r="B232" i="26"/>
  <c r="B233" i="26"/>
  <c r="B234" i="26"/>
  <c r="B235" i="26"/>
  <c r="B236" i="26"/>
  <c r="B237" i="26"/>
  <c r="B238" i="26"/>
  <c r="B239" i="26"/>
  <c r="B240" i="26"/>
  <c r="B241" i="26"/>
  <c r="B242" i="26"/>
  <c r="B243" i="26"/>
  <c r="B244" i="26"/>
  <c r="B245" i="26"/>
  <c r="B246" i="26"/>
  <c r="B247" i="26"/>
  <c r="B248" i="26"/>
  <c r="B249" i="26"/>
  <c r="B250" i="26"/>
  <c r="B251" i="26"/>
  <c r="B252" i="26"/>
  <c r="B253" i="26"/>
  <c r="B254" i="26"/>
  <c r="B255" i="26"/>
  <c r="B256" i="26"/>
  <c r="B257" i="26"/>
  <c r="B258" i="26"/>
  <c r="B259" i="26"/>
  <c r="B260" i="26"/>
  <c r="B261" i="26"/>
  <c r="B262" i="26"/>
  <c r="B263" i="26"/>
  <c r="B264" i="26"/>
  <c r="B265" i="26"/>
  <c r="B266" i="26"/>
  <c r="B267" i="26"/>
  <c r="B268" i="26"/>
  <c r="B269" i="26"/>
  <c r="B270" i="26"/>
  <c r="B271" i="26"/>
  <c r="B272" i="26"/>
  <c r="B273" i="26"/>
  <c r="B274" i="26"/>
  <c r="B275" i="26"/>
  <c r="B276" i="26"/>
  <c r="B277" i="26"/>
  <c r="B278" i="26"/>
  <c r="B279" i="26"/>
  <c r="B280" i="26"/>
  <c r="B281" i="26"/>
  <c r="B282" i="26"/>
  <c r="B283" i="26"/>
  <c r="B284" i="26"/>
  <c r="B285" i="26"/>
  <c r="B286" i="26"/>
  <c r="B287" i="26"/>
  <c r="B288" i="26"/>
  <c r="B289" i="26"/>
  <c r="B290" i="26"/>
  <c r="B291" i="26"/>
  <c r="B292" i="26"/>
  <c r="B293" i="26"/>
  <c r="B294" i="26"/>
  <c r="B295" i="26"/>
  <c r="B296" i="26"/>
  <c r="B297" i="26"/>
  <c r="B298" i="26"/>
  <c r="B299" i="26"/>
  <c r="B300" i="26"/>
  <c r="B301" i="26"/>
  <c r="B302" i="26"/>
  <c r="B303" i="26"/>
  <c r="B304" i="26"/>
  <c r="B305" i="26"/>
  <c r="B306" i="26"/>
  <c r="B307" i="26"/>
  <c r="B308" i="26"/>
  <c r="B309" i="26"/>
  <c r="B310" i="26"/>
  <c r="B311" i="26"/>
  <c r="B312" i="26"/>
  <c r="B313" i="26"/>
  <c r="B314" i="26"/>
  <c r="B315" i="26"/>
  <c r="B316" i="26"/>
  <c r="B317" i="26"/>
  <c r="B318" i="26"/>
  <c r="B319" i="26"/>
  <c r="B320" i="26"/>
  <c r="B321" i="26"/>
  <c r="B322" i="26"/>
  <c r="B323" i="26"/>
  <c r="B324" i="26"/>
  <c r="B325" i="26"/>
  <c r="B326" i="26"/>
  <c r="B327" i="26"/>
  <c r="B328" i="26"/>
  <c r="B329" i="26"/>
  <c r="B330" i="26"/>
  <c r="B331" i="26"/>
  <c r="B332" i="26"/>
  <c r="B333" i="26"/>
  <c r="B334" i="26"/>
  <c r="B335" i="26"/>
  <c r="B336" i="26"/>
  <c r="B337" i="26"/>
  <c r="B338" i="26"/>
  <c r="B339" i="26"/>
  <c r="B340" i="26"/>
  <c r="B341" i="26"/>
  <c r="B342" i="26"/>
  <c r="B343" i="26"/>
  <c r="B344" i="26"/>
  <c r="B345" i="26"/>
  <c r="B346" i="26"/>
  <c r="B347" i="26"/>
  <c r="B348" i="26"/>
  <c r="B349" i="26"/>
  <c r="B350" i="26"/>
  <c r="B351" i="26"/>
  <c r="B352" i="26"/>
  <c r="B353" i="26"/>
  <c r="B354" i="26"/>
  <c r="B355" i="26"/>
  <c r="B356" i="26"/>
  <c r="B357" i="26"/>
  <c r="B358" i="26"/>
  <c r="B359" i="26"/>
  <c r="B360" i="26"/>
  <c r="B361" i="26"/>
  <c r="B362" i="26"/>
  <c r="B363" i="26"/>
  <c r="B364" i="26"/>
  <c r="B365" i="26"/>
  <c r="B366" i="26"/>
  <c r="B367" i="26"/>
  <c r="B368" i="26"/>
  <c r="B369" i="26"/>
  <c r="B370" i="26"/>
  <c r="B371" i="26"/>
  <c r="B372" i="26"/>
  <c r="B373" i="26"/>
  <c r="B374" i="26"/>
  <c r="B375" i="26"/>
  <c r="B376" i="26"/>
  <c r="B377" i="26"/>
  <c r="B378" i="26"/>
  <c r="B379" i="26"/>
  <c r="B380" i="26"/>
  <c r="B381" i="26"/>
  <c r="B382" i="26"/>
  <c r="B383" i="26"/>
  <c r="B384" i="26"/>
  <c r="B385" i="26"/>
  <c r="B386" i="26"/>
  <c r="B387" i="26"/>
  <c r="B388" i="26"/>
  <c r="B389" i="26"/>
  <c r="B390" i="26"/>
  <c r="B391" i="26"/>
  <c r="B392" i="26"/>
  <c r="B393" i="26"/>
  <c r="B394" i="26"/>
  <c r="B395" i="26"/>
  <c r="B396" i="26"/>
  <c r="B397" i="26"/>
  <c r="B398" i="26"/>
  <c r="B399" i="26"/>
  <c r="B400" i="26"/>
  <c r="B401" i="26"/>
  <c r="B402" i="26"/>
  <c r="B403" i="26"/>
  <c r="B404" i="26"/>
  <c r="B405" i="26"/>
  <c r="B406" i="26"/>
  <c r="B407" i="26"/>
  <c r="B408" i="26"/>
  <c r="B409" i="26"/>
  <c r="B410" i="26"/>
  <c r="B411" i="26"/>
  <c r="B412" i="26"/>
  <c r="B413" i="26"/>
  <c r="B414" i="26"/>
  <c r="B415" i="26"/>
  <c r="B416" i="26"/>
  <c r="B417" i="26"/>
  <c r="B418" i="26"/>
  <c r="B419" i="26"/>
  <c r="B420" i="26"/>
  <c r="B421" i="26"/>
  <c r="B422" i="26"/>
  <c r="B423" i="26"/>
  <c r="B424" i="26"/>
  <c r="B425" i="26"/>
  <c r="B426" i="26"/>
  <c r="B427" i="26"/>
  <c r="B428" i="26"/>
  <c r="B429" i="26"/>
  <c r="B430" i="26"/>
  <c r="B431" i="26"/>
  <c r="B432" i="26"/>
  <c r="B433" i="26"/>
  <c r="B434" i="26"/>
  <c r="B435" i="26"/>
  <c r="B436" i="26"/>
  <c r="B437" i="26"/>
  <c r="B438" i="26"/>
  <c r="B439" i="26"/>
  <c r="B440" i="26"/>
  <c r="B441" i="26"/>
  <c r="B442" i="26"/>
  <c r="B443" i="26"/>
  <c r="B444" i="26"/>
  <c r="B445" i="26"/>
  <c r="B446" i="26"/>
  <c r="B447" i="26"/>
  <c r="B448" i="26"/>
  <c r="B449" i="26"/>
  <c r="B450" i="26"/>
  <c r="B451" i="26"/>
  <c r="B452" i="26"/>
  <c r="B453" i="26"/>
  <c r="B454" i="26"/>
  <c r="B455" i="26"/>
  <c r="B456" i="26"/>
  <c r="B457" i="26"/>
  <c r="B458" i="26"/>
  <c r="B459" i="26"/>
  <c r="B460" i="26"/>
  <c r="B461" i="26"/>
  <c r="B462" i="26"/>
  <c r="B463" i="26"/>
  <c r="B464" i="26"/>
  <c r="B465" i="26"/>
  <c r="B466" i="26"/>
  <c r="B467" i="26"/>
  <c r="B468" i="26"/>
  <c r="B469" i="26"/>
  <c r="B470" i="26"/>
  <c r="B471" i="26"/>
  <c r="B472" i="26"/>
  <c r="B473" i="26"/>
  <c r="B474" i="26"/>
  <c r="B475" i="26"/>
  <c r="B476" i="26"/>
  <c r="B477" i="26"/>
  <c r="B478" i="26"/>
  <c r="B479" i="26"/>
  <c r="B480" i="26"/>
  <c r="B481" i="26"/>
  <c r="B482" i="26"/>
  <c r="B483" i="26"/>
  <c r="B484" i="26"/>
  <c r="B485" i="26"/>
  <c r="B486" i="26"/>
  <c r="B487" i="26"/>
  <c r="B488" i="26"/>
  <c r="B489" i="26"/>
  <c r="B490" i="26"/>
  <c r="B491" i="26"/>
  <c r="B492" i="26"/>
  <c r="B493" i="26"/>
  <c r="B494" i="26"/>
  <c r="B495" i="26"/>
  <c r="B496" i="26"/>
  <c r="B497" i="26"/>
  <c r="B498" i="26"/>
  <c r="B499" i="26"/>
  <c r="B500" i="26"/>
  <c r="Y13" i="33"/>
  <c r="Z13" i="33"/>
  <c r="AA13" i="33"/>
  <c r="X19" i="33"/>
  <c r="H1" i="26"/>
  <c r="I1" i="26"/>
  <c r="J1" i="26"/>
  <c r="Y14" i="34"/>
  <c r="Z14" i="34"/>
  <c r="AA14" i="34"/>
  <c r="X19" i="34"/>
  <c r="W19" i="28"/>
  <c r="X13" i="28"/>
  <c r="B40" i="38"/>
  <c r="B40" i="40"/>
  <c r="B40" i="39"/>
  <c r="B40" i="41"/>
  <c r="B40" i="36"/>
  <c r="B40" i="34"/>
  <c r="B40" i="35"/>
  <c r="B40" i="33"/>
  <c r="B40" i="32"/>
  <c r="B40" i="30"/>
  <c r="B40" i="29"/>
  <c r="B40" i="27"/>
  <c r="B40" i="28"/>
  <c r="E19" i="27"/>
  <c r="F13" i="27"/>
  <c r="D19" i="27"/>
  <c r="K1" i="26"/>
  <c r="L1" i="26"/>
  <c r="M1" i="26"/>
  <c r="N1" i="26"/>
  <c r="O1" i="26"/>
  <c r="P1" i="26"/>
  <c r="Q1" i="26"/>
  <c r="R1" i="26"/>
  <c r="S1" i="26"/>
  <c r="T1" i="26"/>
  <c r="U1" i="26"/>
  <c r="L47" i="38"/>
  <c r="E44" i="38"/>
  <c r="R44" i="38"/>
  <c r="Y13" i="28"/>
  <c r="Z13" i="28"/>
  <c r="AA13" i="28"/>
  <c r="X19" i="28"/>
  <c r="D44" i="38"/>
  <c r="C41" i="38"/>
  <c r="C5" i="38" s="1"/>
  <c r="C8" i="38" s="1"/>
  <c r="C11" i="38" s="1"/>
  <c r="C26" i="38" s="1"/>
  <c r="P41" i="38"/>
  <c r="D10" i="34"/>
  <c r="E10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D10" i="35"/>
  <c r="E10" i="35"/>
  <c r="F10" i="35"/>
  <c r="G10" i="35"/>
  <c r="H10" i="35"/>
  <c r="I10" i="35"/>
  <c r="J10" i="35"/>
  <c r="K10" i="35"/>
  <c r="L10" i="35"/>
  <c r="M10" i="35"/>
  <c r="N10" i="35"/>
  <c r="O10" i="35"/>
  <c r="P10" i="35"/>
  <c r="Q10" i="35"/>
  <c r="R10" i="35"/>
  <c r="S10" i="35"/>
  <c r="T10" i="35"/>
  <c r="U10" i="35"/>
  <c r="V10" i="35"/>
  <c r="W10" i="35"/>
  <c r="X10" i="35"/>
  <c r="Y10" i="35"/>
  <c r="Z10" i="35"/>
  <c r="AA10" i="35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W10" i="33"/>
  <c r="X10" i="33"/>
  <c r="Y10" i="33"/>
  <c r="Z10" i="33"/>
  <c r="AA10" i="33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E44" i="27"/>
  <c r="N44" i="38"/>
  <c r="G41" i="38"/>
  <c r="E41" i="38"/>
  <c r="N41" i="38"/>
  <c r="G44" i="38"/>
  <c r="O41" i="38"/>
  <c r="O44" i="38"/>
  <c r="D41" i="38"/>
  <c r="F41" i="38"/>
  <c r="C46" i="38"/>
  <c r="J44" i="38"/>
  <c r="M41" i="38"/>
  <c r="P44" i="38"/>
  <c r="J41" i="38"/>
  <c r="I41" i="38"/>
  <c r="Q44" i="38"/>
  <c r="H41" i="38"/>
  <c r="R41" i="38"/>
  <c r="Q41" i="38"/>
  <c r="M44" i="38"/>
  <c r="H44" i="38"/>
  <c r="H45" i="38" s="1"/>
  <c r="L44" i="38"/>
  <c r="C44" i="38"/>
  <c r="F44" i="38"/>
  <c r="L41" i="38"/>
  <c r="I44" i="38"/>
  <c r="K41" i="38"/>
  <c r="K44" i="38"/>
  <c r="E47" i="38"/>
  <c r="I47" i="38"/>
  <c r="H47" i="38"/>
  <c r="N47" i="38"/>
  <c r="J47" i="38"/>
  <c r="M47" i="38"/>
  <c r="G47" i="38"/>
  <c r="F47" i="38"/>
  <c r="K47" i="38"/>
  <c r="O47" i="38"/>
  <c r="Q47" i="38"/>
  <c r="C47" i="38"/>
  <c r="R47" i="38"/>
  <c r="D47" i="38"/>
  <c r="P47" i="38"/>
  <c r="N47" i="41"/>
  <c r="F47" i="41"/>
  <c r="R44" i="41"/>
  <c r="J44" i="41"/>
  <c r="Q41" i="41"/>
  <c r="I41" i="41"/>
  <c r="Q47" i="41"/>
  <c r="G47" i="41"/>
  <c r="L44" i="41"/>
  <c r="P41" i="41"/>
  <c r="F41" i="41"/>
  <c r="K47" i="41"/>
  <c r="O47" i="41"/>
  <c r="D47" i="41"/>
  <c r="I44" i="41"/>
  <c r="N41" i="41"/>
  <c r="C41" i="41"/>
  <c r="M47" i="41"/>
  <c r="C44" i="41"/>
  <c r="H47" i="41"/>
  <c r="J41" i="41"/>
  <c r="H44" i="41"/>
  <c r="G41" i="41"/>
  <c r="E44" i="41"/>
  <c r="D41" i="41"/>
  <c r="R47" i="41"/>
  <c r="J47" i="41"/>
  <c r="C46" i="41"/>
  <c r="N44" i="41"/>
  <c r="F44" i="41"/>
  <c r="M41" i="41"/>
  <c r="E41" i="41"/>
  <c r="L47" i="41"/>
  <c r="Q44" i="41"/>
  <c r="G44" i="41"/>
  <c r="K41" i="41"/>
  <c r="P47" i="41"/>
  <c r="E47" i="41"/>
  <c r="I47" i="41"/>
  <c r="O44" i="41"/>
  <c r="D44" i="41"/>
  <c r="H41" i="4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V7" i="41"/>
  <c r="W7" i="41"/>
  <c r="X7" i="41"/>
  <c r="Y7" i="41"/>
  <c r="Z7" i="41"/>
  <c r="AA7" i="41"/>
  <c r="M44" i="41"/>
  <c r="L41" i="41"/>
  <c r="L42" i="41" s="1"/>
  <c r="L4" i="41" s="1"/>
  <c r="K44" i="41"/>
  <c r="C47" i="41"/>
  <c r="R41" i="41"/>
  <c r="R34" i="41" s="1"/>
  <c r="S34" i="41" s="1"/>
  <c r="T34" i="41" s="1"/>
  <c r="U34" i="41" s="1"/>
  <c r="V34" i="41" s="1"/>
  <c r="W34" i="41" s="1"/>
  <c r="X34" i="41" s="1"/>
  <c r="P44" i="41"/>
  <c r="O41" i="41"/>
  <c r="L47" i="40"/>
  <c r="C41" i="40"/>
  <c r="C5" i="40" s="1"/>
  <c r="C8" i="40" s="1"/>
  <c r="C11" i="40" s="1"/>
  <c r="P44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I44" i="40"/>
  <c r="K41" i="40"/>
  <c r="R47" i="40"/>
  <c r="J47" i="40"/>
  <c r="C46" i="40"/>
  <c r="N44" i="40"/>
  <c r="F44" i="40"/>
  <c r="M41" i="40"/>
  <c r="E41" i="40"/>
  <c r="K47" i="40"/>
  <c r="C47" i="40"/>
  <c r="K44" i="40"/>
  <c r="C44" i="40"/>
  <c r="N41" i="40"/>
  <c r="N34" i="40" s="1"/>
  <c r="F41" i="40"/>
  <c r="F34" i="40" s="1"/>
  <c r="E47" i="40"/>
  <c r="E44" i="40"/>
  <c r="D41" i="40"/>
  <c r="D47" i="40"/>
  <c r="P41" i="40"/>
  <c r="P34" i="40" s="1"/>
  <c r="Q44" i="40"/>
  <c r="Q47" i="40"/>
  <c r="D44" i="40"/>
  <c r="P47" i="40"/>
  <c r="H41" i="40"/>
  <c r="I47" i="40"/>
  <c r="L44" i="40"/>
  <c r="N47" i="40"/>
  <c r="F47" i="40"/>
  <c r="R44" i="40"/>
  <c r="J44" i="40"/>
  <c r="Q41" i="40"/>
  <c r="Q42" i="40" s="1"/>
  <c r="Q4" i="40" s="1"/>
  <c r="I41" i="40"/>
  <c r="O47" i="40"/>
  <c r="G47" i="40"/>
  <c r="O44" i="40"/>
  <c r="G44" i="40"/>
  <c r="R41" i="40"/>
  <c r="R34" i="40" s="1"/>
  <c r="S34" i="40" s="1"/>
  <c r="T34" i="40" s="1"/>
  <c r="U34" i="40" s="1"/>
  <c r="V34" i="40" s="1"/>
  <c r="W34" i="40" s="1"/>
  <c r="X34" i="40" s="1"/>
  <c r="J41" i="40"/>
  <c r="J34" i="40" s="1"/>
  <c r="M47" i="40"/>
  <c r="M44" i="40"/>
  <c r="L41" i="40"/>
  <c r="L42" i="40" s="1"/>
  <c r="L4" i="40" s="1"/>
  <c r="O41" i="40"/>
  <c r="G41" i="40"/>
  <c r="H44" i="40"/>
  <c r="H47" i="40"/>
  <c r="E47" i="39"/>
  <c r="D41" i="39"/>
  <c r="R47" i="39"/>
  <c r="J47" i="39"/>
  <c r="C46" i="39"/>
  <c r="N44" i="39"/>
  <c r="F44" i="39"/>
  <c r="M41" i="39"/>
  <c r="E41" i="39"/>
  <c r="K47" i="39"/>
  <c r="C47" i="39"/>
  <c r="K44" i="39"/>
  <c r="C44" i="39"/>
  <c r="N41" i="39"/>
  <c r="F41" i="39"/>
  <c r="I47" i="39"/>
  <c r="I44" i="39"/>
  <c r="H41" i="39"/>
  <c r="P47" i="39"/>
  <c r="P44" i="39"/>
  <c r="O41" i="39"/>
  <c r="L47" i="39"/>
  <c r="L44" i="39"/>
  <c r="K41" i="39"/>
  <c r="K34" i="39" s="1"/>
  <c r="L41" i="39"/>
  <c r="M47" i="39"/>
  <c r="E44" i="39"/>
  <c r="N47" i="39"/>
  <c r="F47" i="39"/>
  <c r="R44" i="39"/>
  <c r="J44" i="39"/>
  <c r="Q41" i="39"/>
  <c r="I41" i="39"/>
  <c r="I34" i="39" s="1"/>
  <c r="O47" i="39"/>
  <c r="G47" i="39"/>
  <c r="O44" i="39"/>
  <c r="G44" i="39"/>
  <c r="R41" i="39"/>
  <c r="R34" i="39" s="1"/>
  <c r="S34" i="39" s="1"/>
  <c r="T34" i="39" s="1"/>
  <c r="U34" i="39" s="1"/>
  <c r="V34" i="39" s="1"/>
  <c r="W34" i="39" s="1"/>
  <c r="X34" i="39" s="1"/>
  <c r="J41" i="39"/>
  <c r="J34" i="39" s="1"/>
  <c r="Q47" i="39"/>
  <c r="Q44" i="39"/>
  <c r="P41" i="39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H47" i="39"/>
  <c r="H44" i="39"/>
  <c r="G41" i="39"/>
  <c r="G34" i="39" s="1"/>
  <c r="D47" i="39"/>
  <c r="D44" i="39"/>
  <c r="C41" i="39"/>
  <c r="C5" i="39" s="1"/>
  <c r="C8" i="39" s="1"/>
  <c r="C11" i="39" s="1"/>
  <c r="C32" i="39" s="1"/>
  <c r="M44" i="39"/>
  <c r="J47" i="36"/>
  <c r="N44" i="36"/>
  <c r="M41" i="36"/>
  <c r="K47" i="36"/>
  <c r="K44" i="36"/>
  <c r="N41" i="36"/>
  <c r="N34" i="36" s="1"/>
  <c r="I47" i="36"/>
  <c r="H41" i="36"/>
  <c r="M44" i="36"/>
  <c r="C41" i="36"/>
  <c r="C5" i="36" s="1"/>
  <c r="C8" i="36" s="1"/>
  <c r="C11" i="36" s="1"/>
  <c r="C27" i="36" s="1"/>
  <c r="H44" i="36"/>
  <c r="L47" i="36"/>
  <c r="O41" i="36"/>
  <c r="I41" i="36"/>
  <c r="E44" i="36"/>
  <c r="P44" i="36"/>
  <c r="C46" i="36"/>
  <c r="C44" i="36"/>
  <c r="I44" i="36"/>
  <c r="L41" i="36"/>
  <c r="K41" i="36"/>
  <c r="P47" i="36"/>
  <c r="N47" i="36"/>
  <c r="R44" i="36"/>
  <c r="Q41" i="36"/>
  <c r="O47" i="36"/>
  <c r="O44" i="36"/>
  <c r="R41" i="36"/>
  <c r="Q47" i="36"/>
  <c r="P41" i="36"/>
  <c r="E47" i="36"/>
  <c r="D41" i="36"/>
  <c r="G41" i="36"/>
  <c r="L44" i="36"/>
  <c r="F47" i="36"/>
  <c r="J44" i="36"/>
  <c r="G47" i="36"/>
  <c r="G44" i="36"/>
  <c r="J41" i="36"/>
  <c r="Q44" i="36"/>
  <c r="D7" i="36"/>
  <c r="E7" i="36"/>
  <c r="F7" i="36"/>
  <c r="G7" i="36"/>
  <c r="H7" i="36"/>
  <c r="I7" i="36"/>
  <c r="J7" i="36"/>
  <c r="K7" i="36"/>
  <c r="L7" i="36"/>
  <c r="M7" i="36"/>
  <c r="N7" i="36"/>
  <c r="O7" i="36"/>
  <c r="P7" i="36"/>
  <c r="Q7" i="36"/>
  <c r="R7" i="36"/>
  <c r="S7" i="36"/>
  <c r="T7" i="36"/>
  <c r="U7" i="36"/>
  <c r="V7" i="36"/>
  <c r="W7" i="36"/>
  <c r="X7" i="36"/>
  <c r="Y7" i="36"/>
  <c r="Z7" i="36"/>
  <c r="AA7" i="36"/>
  <c r="D44" i="36"/>
  <c r="H47" i="36"/>
  <c r="R47" i="36"/>
  <c r="F44" i="36"/>
  <c r="E41" i="36"/>
  <c r="C47" i="36"/>
  <c r="F41" i="36"/>
  <c r="M47" i="36"/>
  <c r="D47" i="36"/>
  <c r="R41" i="32"/>
  <c r="R47" i="32"/>
  <c r="J47" i="32"/>
  <c r="C46" i="32"/>
  <c r="N44" i="32"/>
  <c r="F44" i="32"/>
  <c r="M41" i="32"/>
  <c r="E41" i="32"/>
  <c r="L47" i="32"/>
  <c r="D47" i="32"/>
  <c r="L44" i="32"/>
  <c r="D44" i="32"/>
  <c r="K41" i="32"/>
  <c r="C41" i="32"/>
  <c r="C5" i="32" s="1"/>
  <c r="C8" i="32" s="1"/>
  <c r="C11" i="32" s="1"/>
  <c r="I47" i="32"/>
  <c r="I44" i="32"/>
  <c r="H41" i="32"/>
  <c r="G47" i="32"/>
  <c r="G44" i="32"/>
  <c r="F41" i="32"/>
  <c r="E47" i="32"/>
  <c r="E44" i="32"/>
  <c r="D41" i="32"/>
  <c r="C44" i="32"/>
  <c r="J41" i="32"/>
  <c r="K47" i="32"/>
  <c r="N47" i="32"/>
  <c r="F47" i="32"/>
  <c r="R44" i="32"/>
  <c r="J44" i="32"/>
  <c r="Q41" i="32"/>
  <c r="I41" i="32"/>
  <c r="P47" i="32"/>
  <c r="H47" i="32"/>
  <c r="P44" i="32"/>
  <c r="H44" i="32"/>
  <c r="O41" i="32"/>
  <c r="G41" i="32"/>
  <c r="Q47" i="32"/>
  <c r="Q44" i="32"/>
  <c r="P41" i="32"/>
  <c r="P42" i="32" s="1"/>
  <c r="P4" i="32" s="1"/>
  <c r="O47" i="32"/>
  <c r="O44" i="32"/>
  <c r="N41" i="32"/>
  <c r="M47" i="32"/>
  <c r="M44" i="32"/>
  <c r="L41" i="32"/>
  <c r="L34" i="32" s="1"/>
  <c r="D7" i="32"/>
  <c r="E7" i="32"/>
  <c r="F7" i="32"/>
  <c r="G7" i="32"/>
  <c r="C47" i="32"/>
  <c r="K44" i="32"/>
  <c r="R47" i="35"/>
  <c r="J47" i="35"/>
  <c r="C46" i="35"/>
  <c r="N44" i="35"/>
  <c r="F44" i="35"/>
  <c r="M41" i="35"/>
  <c r="E41" i="35"/>
  <c r="H47" i="35"/>
  <c r="M44" i="35"/>
  <c r="C44" i="35"/>
  <c r="L41" i="35"/>
  <c r="F41" i="35"/>
  <c r="D44" i="35"/>
  <c r="Q44" i="35"/>
  <c r="L44" i="35"/>
  <c r="D41" i="35"/>
  <c r="I44" i="35"/>
  <c r="E47" i="35"/>
  <c r="G47" i="35"/>
  <c r="H41" i="35"/>
  <c r="I47" i="35"/>
  <c r="C41" i="35"/>
  <c r="C5" i="35" s="1"/>
  <c r="C8" i="35" s="1"/>
  <c r="C11" i="35" s="1"/>
  <c r="P41" i="35"/>
  <c r="O44" i="35"/>
  <c r="K47" i="35"/>
  <c r="N47" i="35"/>
  <c r="F47" i="35"/>
  <c r="R44" i="35"/>
  <c r="J44" i="35"/>
  <c r="Q41" i="35"/>
  <c r="Q34" i="35" s="1"/>
  <c r="I41" i="35"/>
  <c r="M47" i="35"/>
  <c r="C47" i="35"/>
  <c r="H44" i="35"/>
  <c r="R41" i="35"/>
  <c r="G41" i="35"/>
  <c r="G42" i="35" s="1"/>
  <c r="G4" i="35" s="1"/>
  <c r="N41" i="35"/>
  <c r="K44" i="35"/>
  <c r="O47" i="35"/>
  <c r="O41" i="35"/>
  <c r="O34" i="35" s="1"/>
  <c r="P47" i="35"/>
  <c r="K41" i="35"/>
  <c r="P44" i="35"/>
  <c r="L47" i="35"/>
  <c r="E44" i="35"/>
  <c r="J41" i="35"/>
  <c r="G44" i="35"/>
  <c r="D47" i="35"/>
  <c r="Q47" i="35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Z7" i="33"/>
  <c r="AA7" i="33"/>
  <c r="D41" i="33"/>
  <c r="E41" i="33"/>
  <c r="C44" i="33"/>
  <c r="D44" i="33"/>
  <c r="C46" i="33"/>
  <c r="C47" i="33"/>
  <c r="C41" i="33"/>
  <c r="C34" i="33" s="1"/>
  <c r="D37" i="33" s="1"/>
  <c r="D47" i="33"/>
  <c r="E47" i="33"/>
  <c r="E44" i="33"/>
  <c r="F47" i="33"/>
  <c r="F41" i="33"/>
  <c r="F44" i="33"/>
  <c r="G44" i="33"/>
  <c r="G41" i="33"/>
  <c r="G47" i="33"/>
  <c r="H44" i="33"/>
  <c r="H41" i="33"/>
  <c r="H47" i="33"/>
  <c r="I41" i="33"/>
  <c r="I44" i="33"/>
  <c r="I47" i="33"/>
  <c r="J47" i="33"/>
  <c r="J41" i="33"/>
  <c r="J42" i="33" s="1"/>
  <c r="J4" i="33" s="1"/>
  <c r="J44" i="33"/>
  <c r="K47" i="33"/>
  <c r="K41" i="33"/>
  <c r="K44" i="33"/>
  <c r="L41" i="33"/>
  <c r="L47" i="33"/>
  <c r="L44" i="33"/>
  <c r="M44" i="33"/>
  <c r="M47" i="33"/>
  <c r="M41" i="33"/>
  <c r="N44" i="33"/>
  <c r="N47" i="33"/>
  <c r="N41" i="33"/>
  <c r="O44" i="33"/>
  <c r="O41" i="33"/>
  <c r="O47" i="33"/>
  <c r="P44" i="33"/>
  <c r="P41" i="33"/>
  <c r="P47" i="33"/>
  <c r="Q41" i="33"/>
  <c r="Q44" i="33"/>
  <c r="Q47" i="33"/>
  <c r="R44" i="33"/>
  <c r="R47" i="33"/>
  <c r="R41" i="33"/>
  <c r="N47" i="34"/>
  <c r="F47" i="34"/>
  <c r="R44" i="34"/>
  <c r="J44" i="34"/>
  <c r="Q41" i="34"/>
  <c r="I41" i="34"/>
  <c r="P47" i="34"/>
  <c r="H47" i="34"/>
  <c r="P44" i="34"/>
  <c r="H44" i="34"/>
  <c r="O41" i="34"/>
  <c r="G41" i="34"/>
  <c r="Q47" i="34"/>
  <c r="Q44" i="34"/>
  <c r="P41" i="34"/>
  <c r="M47" i="34"/>
  <c r="M44" i="34"/>
  <c r="L41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O44" i="34"/>
  <c r="K47" i="34"/>
  <c r="J41" i="34"/>
  <c r="C44" i="34"/>
  <c r="G47" i="34"/>
  <c r="F41" i="34"/>
  <c r="R47" i="34"/>
  <c r="J47" i="34"/>
  <c r="C46" i="34"/>
  <c r="N44" i="34"/>
  <c r="F44" i="34"/>
  <c r="M41" i="34"/>
  <c r="E41" i="34"/>
  <c r="L47" i="34"/>
  <c r="D47" i="34"/>
  <c r="L44" i="34"/>
  <c r="D44" i="34"/>
  <c r="K41" i="34"/>
  <c r="C41" i="34"/>
  <c r="C5" i="34" s="1"/>
  <c r="I47" i="34"/>
  <c r="I44" i="34"/>
  <c r="H41" i="34"/>
  <c r="E47" i="34"/>
  <c r="E44" i="34"/>
  <c r="D41" i="34"/>
  <c r="O47" i="34"/>
  <c r="N41" i="34"/>
  <c r="K44" i="34"/>
  <c r="C47" i="34"/>
  <c r="R41" i="34"/>
  <c r="G44" i="34"/>
  <c r="G45" i="34" s="1"/>
  <c r="J47" i="29"/>
  <c r="N44" i="29"/>
  <c r="M41" i="29"/>
  <c r="L47" i="29"/>
  <c r="G44" i="29"/>
  <c r="O47" i="29"/>
  <c r="I44" i="29"/>
  <c r="C41" i="29"/>
  <c r="C5" i="29" s="1"/>
  <c r="C8" i="29" s="1"/>
  <c r="C11" i="29" s="1"/>
  <c r="P44" i="29"/>
  <c r="M47" i="29"/>
  <c r="L41" i="29"/>
  <c r="J41" i="29"/>
  <c r="G41" i="29"/>
  <c r="F47" i="29"/>
  <c r="J44" i="29"/>
  <c r="I41" i="29"/>
  <c r="G47" i="29"/>
  <c r="P41" i="29"/>
  <c r="I47" i="29"/>
  <c r="D44" i="29"/>
  <c r="E44" i="29"/>
  <c r="C47" i="29"/>
  <c r="H47" i="29"/>
  <c r="R47" i="29"/>
  <c r="C46" i="29"/>
  <c r="F44" i="29"/>
  <c r="E41" i="29"/>
  <c r="Q44" i="29"/>
  <c r="K41" i="29"/>
  <c r="D47" i="29"/>
  <c r="N41" i="29"/>
  <c r="P47" i="29"/>
  <c r="O41" i="29"/>
  <c r="M44" i="29"/>
  <c r="K47" i="29"/>
  <c r="H44" i="29"/>
  <c r="Q47" i="29"/>
  <c r="H41" i="29"/>
  <c r="K44" i="29"/>
  <c r="K45" i="29" s="1"/>
  <c r="N47" i="29"/>
  <c r="L44" i="29"/>
  <c r="E47" i="29"/>
  <c r="R41" i="29"/>
  <c r="R44" i="29"/>
  <c r="R45" i="29" s="1"/>
  <c r="F41" i="29"/>
  <c r="F5" i="29" s="1"/>
  <c r="F8" i="29" s="1"/>
  <c r="F11" i="29" s="1"/>
  <c r="F20" i="29" s="1"/>
  <c r="D41" i="29"/>
  <c r="Q41" i="29"/>
  <c r="O44" i="29"/>
  <c r="C44" i="29"/>
  <c r="C47" i="30"/>
  <c r="Q44" i="30"/>
  <c r="N47" i="30"/>
  <c r="R44" i="30"/>
  <c r="Q41" i="30"/>
  <c r="Q47" i="30"/>
  <c r="L44" i="30"/>
  <c r="F41" i="30"/>
  <c r="F5" i="30" s="1"/>
  <c r="F8" i="30" s="1"/>
  <c r="F11" i="30" s="1"/>
  <c r="F20" i="30" s="1"/>
  <c r="P44" i="30"/>
  <c r="J41" i="30"/>
  <c r="D47" i="30"/>
  <c r="N41" i="30"/>
  <c r="M44" i="30"/>
  <c r="C44" i="30"/>
  <c r="R41" i="30"/>
  <c r="J47" i="30"/>
  <c r="N44" i="30"/>
  <c r="M41" i="30"/>
  <c r="L47" i="30"/>
  <c r="G44" i="30"/>
  <c r="P47" i="30"/>
  <c r="K44" i="30"/>
  <c r="D41" i="30"/>
  <c r="O44" i="30"/>
  <c r="H41" i="30"/>
  <c r="H5" i="30" s="1"/>
  <c r="M47" i="30"/>
  <c r="H44" i="30"/>
  <c r="F47" i="30"/>
  <c r="J44" i="30"/>
  <c r="I41" i="30"/>
  <c r="G47" i="30"/>
  <c r="P41" i="30"/>
  <c r="K47" i="30"/>
  <c r="E44" i="30"/>
  <c r="O47" i="30"/>
  <c r="I44" i="30"/>
  <c r="C41" i="30"/>
  <c r="G41" i="30"/>
  <c r="G5" i="30" s="1"/>
  <c r="G8" i="30" s="1"/>
  <c r="G11" i="30" s="1"/>
  <c r="G20" i="30" s="1"/>
  <c r="R47" i="30"/>
  <c r="C46" i="30"/>
  <c r="F44" i="30"/>
  <c r="E41" i="30"/>
  <c r="K41" i="30"/>
  <c r="E47" i="30"/>
  <c r="O41" i="30"/>
  <c r="I47" i="30"/>
  <c r="D44" i="30"/>
  <c r="H47" i="30"/>
  <c r="L41" i="30"/>
  <c r="D41" i="27"/>
  <c r="R41" i="27"/>
  <c r="H44" i="27"/>
  <c r="K44" i="27"/>
  <c r="L44" i="27"/>
  <c r="K41" i="27"/>
  <c r="J41" i="27"/>
  <c r="C44" i="27"/>
  <c r="C41" i="27"/>
  <c r="C46" i="27"/>
  <c r="E41" i="27"/>
  <c r="J44" i="27"/>
  <c r="M44" i="27"/>
  <c r="N44" i="27"/>
  <c r="C47" i="27"/>
  <c r="M41" i="27"/>
  <c r="L41" i="27"/>
  <c r="D44" i="27"/>
  <c r="G47" i="27"/>
  <c r="D47" i="27"/>
  <c r="E47" i="27"/>
  <c r="M47" i="27"/>
  <c r="F47" i="27"/>
  <c r="N47" i="27"/>
  <c r="K47" i="27"/>
  <c r="L47" i="27"/>
  <c r="M47" i="28"/>
  <c r="E47" i="28"/>
  <c r="M44" i="28"/>
  <c r="E44" i="28"/>
  <c r="N41" i="28"/>
  <c r="F41" i="28"/>
  <c r="P47" i="28"/>
  <c r="H47" i="28"/>
  <c r="R44" i="28"/>
  <c r="J44" i="28"/>
  <c r="Q41" i="28"/>
  <c r="I41" i="28"/>
  <c r="Q47" i="28"/>
  <c r="I47" i="28"/>
  <c r="Q44" i="28"/>
  <c r="I44" i="28"/>
  <c r="R41" i="28"/>
  <c r="R34" i="28" s="1"/>
  <c r="S34" i="28" s="1"/>
  <c r="T34" i="28" s="1"/>
  <c r="U34" i="28" s="1"/>
  <c r="V34" i="28" s="1"/>
  <c r="W34" i="28" s="1"/>
  <c r="X34" i="28" s="1"/>
  <c r="J41" i="28"/>
  <c r="L47" i="28"/>
  <c r="D47" i="28"/>
  <c r="N44" i="28"/>
  <c r="F44" i="28"/>
  <c r="M41" i="28"/>
  <c r="M34" i="28" s="1"/>
  <c r="E41" i="28"/>
  <c r="O47" i="28"/>
  <c r="G47" i="28"/>
  <c r="O44" i="28"/>
  <c r="G44" i="28"/>
  <c r="P41" i="28"/>
  <c r="H41" i="28"/>
  <c r="H5" i="28" s="1"/>
  <c r="H8" i="28" s="1"/>
  <c r="H11" i="28" s="1"/>
  <c r="H20" i="28" s="1"/>
  <c r="R47" i="28"/>
  <c r="J47" i="28"/>
  <c r="C46" i="28"/>
  <c r="L44" i="28"/>
  <c r="D44" i="28"/>
  <c r="K41" i="28"/>
  <c r="C41" i="28"/>
  <c r="C5" i="28" s="1"/>
  <c r="C8" i="28" s="1"/>
  <c r="C11" i="28" s="1"/>
  <c r="C26" i="28" s="1"/>
  <c r="K47" i="28"/>
  <c r="C47" i="28"/>
  <c r="K44" i="28"/>
  <c r="C44" i="28"/>
  <c r="L41" i="28"/>
  <c r="L34" i="28" s="1"/>
  <c r="D41" i="28"/>
  <c r="N47" i="28"/>
  <c r="F47" i="28"/>
  <c r="P44" i="28"/>
  <c r="H44" i="28"/>
  <c r="O41" i="28"/>
  <c r="G41" i="28"/>
  <c r="Q41" i="27"/>
  <c r="I41" i="27"/>
  <c r="P41" i="27"/>
  <c r="H41" i="27"/>
  <c r="F44" i="27"/>
  <c r="Q44" i="27"/>
  <c r="I44" i="27"/>
  <c r="R44" i="27"/>
  <c r="R47" i="27"/>
  <c r="J47" i="27"/>
  <c r="Q47" i="27"/>
  <c r="I47" i="27"/>
  <c r="O41" i="27"/>
  <c r="G41" i="27"/>
  <c r="N41" i="27"/>
  <c r="F41" i="27"/>
  <c r="F42" i="27" s="1"/>
  <c r="F4" i="27" s="1"/>
  <c r="O44" i="27"/>
  <c r="G44" i="27"/>
  <c r="P44" i="27"/>
  <c r="P47" i="27"/>
  <c r="H47" i="27"/>
  <c r="O47" i="27"/>
  <c r="G13" i="27"/>
  <c r="F19" i="27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D7" i="29"/>
  <c r="E7" i="29"/>
  <c r="F7" i="29"/>
  <c r="G7" i="29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D7" i="30"/>
  <c r="E7" i="30"/>
  <c r="F7" i="30"/>
  <c r="G7" i="30"/>
  <c r="D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G19" i="27"/>
  <c r="H13" i="27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E7" i="28"/>
  <c r="I13" i="27"/>
  <c r="H19" i="27"/>
  <c r="F7" i="28"/>
  <c r="I19" i="27"/>
  <c r="J13" i="27"/>
  <c r="G7" i="28"/>
  <c r="K13" i="27"/>
  <c r="J19" i="27"/>
  <c r="K19" i="27"/>
  <c r="L13" i="27"/>
  <c r="M13" i="27"/>
  <c r="L19" i="27"/>
  <c r="M19" i="27"/>
  <c r="N13" i="27"/>
  <c r="O13" i="27"/>
  <c r="N19" i="27"/>
  <c r="O19" i="27"/>
  <c r="P13" i="27"/>
  <c r="Q13" i="27"/>
  <c r="P19" i="27"/>
  <c r="Q19" i="27"/>
  <c r="R13" i="27"/>
  <c r="S13" i="27"/>
  <c r="T13" i="27"/>
  <c r="S19" i="27"/>
  <c r="R19" i="27"/>
  <c r="T19" i="27"/>
  <c r="U13" i="27"/>
  <c r="U19" i="27"/>
  <c r="V13" i="27"/>
  <c r="W13" i="27"/>
  <c r="V19" i="27"/>
  <c r="W19" i="27"/>
  <c r="X13" i="27"/>
  <c r="Y13" i="27"/>
  <c r="Z13" i="27"/>
  <c r="AA13" i="27"/>
  <c r="X19" i="27"/>
  <c r="K48" i="44"/>
  <c r="BP45" i="44" s="1"/>
  <c r="CO45" i="44" s="1"/>
  <c r="BQ77" i="26"/>
  <c r="BP25" i="44"/>
  <c r="CO25" i="44" s="1"/>
  <c r="CB40" i="26"/>
  <c r="K28" i="44"/>
  <c r="BX40" i="26"/>
  <c r="G22" i="24"/>
  <c r="P15" i="24"/>
  <c r="P43" i="26"/>
  <c r="P79" i="26"/>
  <c r="P6" i="24"/>
  <c r="C95" i="8"/>
  <c r="I23" i="24"/>
  <c r="C77" i="8"/>
  <c r="P22" i="24"/>
  <c r="P223" i="26"/>
  <c r="C86" i="8"/>
  <c r="P205" i="26"/>
  <c r="G15" i="24"/>
  <c r="P25" i="26"/>
  <c r="G6" i="24"/>
  <c r="P97" i="26"/>
  <c r="I7" i="24"/>
  <c r="P133" i="26"/>
  <c r="P151" i="26"/>
  <c r="P7" i="26"/>
  <c r="C104" i="8"/>
  <c r="C69" i="8"/>
  <c r="P61" i="26"/>
  <c r="P187" i="26"/>
  <c r="P169" i="26"/>
  <c r="I16" i="24"/>
  <c r="C24" i="8"/>
  <c r="P115" i="26"/>
  <c r="G33" i="8"/>
  <c r="C15" i="8"/>
  <c r="H15" i="8"/>
  <c r="F33" i="8"/>
  <c r="C42" i="8"/>
  <c r="H33" i="8"/>
  <c r="C60" i="8"/>
  <c r="F24" i="8"/>
  <c r="BS15" i="44" l="1"/>
  <c r="CR15" i="44" s="1"/>
  <c r="BQ70" i="26"/>
  <c r="BF68" i="26"/>
  <c r="BF76" i="26"/>
  <c r="BU19" i="26"/>
  <c r="BU54" i="26" s="1"/>
  <c r="BU11" i="26"/>
  <c r="Q13" i="44" s="1"/>
  <c r="BV10" i="44" s="1"/>
  <c r="CU10" i="44" s="1"/>
  <c r="BU7" i="26"/>
  <c r="M13" i="44" s="1"/>
  <c r="CC40" i="26"/>
  <c r="BF72" i="26"/>
  <c r="AQ20" i="26"/>
  <c r="BT6" i="26"/>
  <c r="L8" i="44" s="1"/>
  <c r="BQ5" i="44" s="1"/>
  <c r="CP5" i="44" s="1"/>
  <c r="BT13" i="26"/>
  <c r="BT48" i="26" s="1"/>
  <c r="BU15" i="26"/>
  <c r="U13" i="44" s="1"/>
  <c r="BZ10" i="44" s="1"/>
  <c r="BZ12" i="44" s="1"/>
  <c r="CY12" i="44" s="1"/>
  <c r="AQ19" i="26"/>
  <c r="AQ11" i="26"/>
  <c r="AP7" i="26"/>
  <c r="AP11" i="26"/>
  <c r="BU14" i="26"/>
  <c r="BU49" i="26" s="1"/>
  <c r="BF75" i="26"/>
  <c r="AQ9" i="26"/>
  <c r="AQ17" i="26"/>
  <c r="AO18" i="26"/>
  <c r="AO14" i="26"/>
  <c r="AO10" i="26"/>
  <c r="L45" i="34"/>
  <c r="AJ10" i="44"/>
  <c r="AX14" i="26"/>
  <c r="AV10" i="26"/>
  <c r="BD4" i="26"/>
  <c r="BE63" i="26" s="1"/>
  <c r="BV16" i="26"/>
  <c r="BV51" i="26" s="1"/>
  <c r="BX11" i="26"/>
  <c r="Q28" i="44" s="1"/>
  <c r="BW19" i="26"/>
  <c r="Y23" i="44" s="1"/>
  <c r="BW11" i="26"/>
  <c r="BW46" i="26" s="1"/>
  <c r="J42" i="34"/>
  <c r="J4" i="34" s="1"/>
  <c r="P45" i="40"/>
  <c r="AS15" i="26"/>
  <c r="BW9" i="26"/>
  <c r="BW44" i="26" s="1"/>
  <c r="AR19" i="26"/>
  <c r="Q42" i="27"/>
  <c r="Q4" i="27" s="1"/>
  <c r="J42" i="28"/>
  <c r="J4" i="28" s="1"/>
  <c r="D42" i="29"/>
  <c r="D4" i="29" s="1"/>
  <c r="Q42" i="34"/>
  <c r="Q4" i="34" s="1"/>
  <c r="O45" i="40"/>
  <c r="Q45" i="41"/>
  <c r="P34" i="41"/>
  <c r="P45" i="38"/>
  <c r="E45" i="38"/>
  <c r="BQ66" i="26"/>
  <c r="AY19" i="26"/>
  <c r="CC11" i="26"/>
  <c r="CC46" i="26" s="1"/>
  <c r="AQ18" i="26"/>
  <c r="BU6" i="26"/>
  <c r="BU41" i="26" s="1"/>
  <c r="Q45" i="34"/>
  <c r="H45" i="34"/>
  <c r="K34" i="41"/>
  <c r="CF7" i="26"/>
  <c r="CF42" i="26" s="1"/>
  <c r="BQ84" i="26" s="1"/>
  <c r="BA13" i="26"/>
  <c r="CE13" i="26"/>
  <c r="S63" i="44" s="1"/>
  <c r="BX60" i="44" s="1"/>
  <c r="CW60" i="44" s="1"/>
  <c r="CD14" i="26"/>
  <c r="T58" i="44" s="1"/>
  <c r="AY10" i="26"/>
  <c r="AS11" i="26"/>
  <c r="BV18" i="26"/>
  <c r="BV53" i="26" s="1"/>
  <c r="K13" i="44"/>
  <c r="BP10" i="44" s="1"/>
  <c r="BP11" i="44" s="1"/>
  <c r="AP15" i="26"/>
  <c r="BV17" i="26"/>
  <c r="W18" i="44" s="1"/>
  <c r="CB17" i="44" s="1"/>
  <c r="DA17" i="44" s="1"/>
  <c r="K42" i="32"/>
  <c r="K4" i="32" s="1"/>
  <c r="CD9" i="26"/>
  <c r="CD44" i="26" s="1"/>
  <c r="C31" i="36"/>
  <c r="AC30" i="26"/>
  <c r="BH4" i="26"/>
  <c r="BX4" i="26" s="1"/>
  <c r="BX39" i="26" s="1"/>
  <c r="C20" i="36"/>
  <c r="C5" i="33"/>
  <c r="BY8" i="26"/>
  <c r="N33" i="44" s="1"/>
  <c r="CA49" i="26"/>
  <c r="Z31" i="26"/>
  <c r="BF67" i="26"/>
  <c r="AQ10" i="26"/>
  <c r="AO4" i="26"/>
  <c r="AO31" i="26" s="1"/>
  <c r="Q34" i="29"/>
  <c r="P42" i="40"/>
  <c r="P4" i="40" s="1"/>
  <c r="L45" i="40"/>
  <c r="M42" i="41"/>
  <c r="M4" i="41" s="1"/>
  <c r="BQ65" i="26"/>
  <c r="CF10" i="26"/>
  <c r="P68" i="44" s="1"/>
  <c r="BU65" i="44" s="1"/>
  <c r="CT65" i="44" s="1"/>
  <c r="BQ71" i="26"/>
  <c r="CE9" i="26"/>
  <c r="O63" i="44" s="1"/>
  <c r="BT60" i="44" s="1"/>
  <c r="BT61" i="44" s="1"/>
  <c r="CS61" i="44" s="1"/>
  <c r="AZ14" i="26"/>
  <c r="AZ18" i="26"/>
  <c r="CD10" i="26"/>
  <c r="P58" i="44" s="1"/>
  <c r="BU55" i="44" s="1"/>
  <c r="CT55" i="44" s="1"/>
  <c r="AY15" i="26"/>
  <c r="CB20" i="26"/>
  <c r="Z48" i="44" s="1"/>
  <c r="CE45" i="44" s="1"/>
  <c r="CE46" i="44" s="1"/>
  <c r="DD46" i="44" s="1"/>
  <c r="BZ7" i="26"/>
  <c r="M38" i="44" s="1"/>
  <c r="BR35" i="44" s="1"/>
  <c r="CQ35" i="44" s="1"/>
  <c r="BK68" i="26"/>
  <c r="AS12" i="26"/>
  <c r="R42" i="29"/>
  <c r="R4" i="29" s="1"/>
  <c r="F34" i="33"/>
  <c r="J34" i="35"/>
  <c r="K45" i="35"/>
  <c r="F34" i="41"/>
  <c r="G34" i="38"/>
  <c r="CF11" i="26"/>
  <c r="CF46" i="26" s="1"/>
  <c r="CD18" i="26"/>
  <c r="X58" i="44" s="1"/>
  <c r="CC19" i="26"/>
  <c r="CC54" i="26" s="1"/>
  <c r="AW9" i="26"/>
  <c r="CA18" i="26"/>
  <c r="X43" i="44" s="1"/>
  <c r="AV8" i="26"/>
  <c r="BL70" i="26"/>
  <c r="BL74" i="26"/>
  <c r="BH71" i="26"/>
  <c r="CC15" i="44"/>
  <c r="DB15" i="44" s="1"/>
  <c r="BG70" i="26"/>
  <c r="Y58" i="44"/>
  <c r="CD55" i="44" s="1"/>
  <c r="DC55" i="44" s="1"/>
  <c r="D42" i="27"/>
  <c r="D4" i="27" s="1"/>
  <c r="J42" i="30"/>
  <c r="J4" i="30" s="1"/>
  <c r="X68" i="44"/>
  <c r="CC65" i="44" s="1"/>
  <c r="DB65" i="44" s="1"/>
  <c r="R34" i="29"/>
  <c r="S34" i="29" s="1"/>
  <c r="T34" i="29" s="1"/>
  <c r="U34" i="29" s="1"/>
  <c r="V34" i="29" s="1"/>
  <c r="W34" i="29" s="1"/>
  <c r="X34" i="29" s="1"/>
  <c r="C29" i="39"/>
  <c r="P13" i="44"/>
  <c r="Q45" i="30"/>
  <c r="AV18" i="26"/>
  <c r="CD45" i="26"/>
  <c r="E42" i="27"/>
  <c r="E4" i="27" s="1"/>
  <c r="AP19" i="26"/>
  <c r="K68" i="44"/>
  <c r="BP65" i="44" s="1"/>
  <c r="CO65" i="44" s="1"/>
  <c r="O34" i="27"/>
  <c r="BN65" i="26"/>
  <c r="CC14" i="26"/>
  <c r="CC49" i="26" s="1"/>
  <c r="C26" i="29"/>
  <c r="C29" i="29"/>
  <c r="C34" i="35"/>
  <c r="D37" i="35" s="1"/>
  <c r="N42" i="35"/>
  <c r="N4" i="35" s="1"/>
  <c r="AU16" i="26"/>
  <c r="C27" i="28"/>
  <c r="O34" i="40"/>
  <c r="J34" i="28"/>
  <c r="I45" i="27"/>
  <c r="O42" i="32"/>
  <c r="O4" i="32" s="1"/>
  <c r="U38" i="44"/>
  <c r="BZ35" i="44" s="1"/>
  <c r="C29" i="38"/>
  <c r="AR9" i="26"/>
  <c r="H42" i="30"/>
  <c r="H4" i="30" s="1"/>
  <c r="BX16" i="26"/>
  <c r="V28" i="44" s="1"/>
  <c r="CA26" i="44" s="1"/>
  <c r="CZ26" i="44" s="1"/>
  <c r="N42" i="32"/>
  <c r="N4" i="32" s="1"/>
  <c r="R45" i="39"/>
  <c r="C26" i="32"/>
  <c r="C27" i="32"/>
  <c r="C28" i="32"/>
  <c r="CB40" i="44"/>
  <c r="CB41" i="44" s="1"/>
  <c r="DA41" i="44" s="1"/>
  <c r="C34" i="30"/>
  <c r="D37" i="30" s="1"/>
  <c r="C5" i="30"/>
  <c r="C31" i="40"/>
  <c r="C20" i="40"/>
  <c r="C27" i="40"/>
  <c r="G34" i="41"/>
  <c r="AF30" i="26"/>
  <c r="AV4" i="26"/>
  <c r="AV31" i="26" s="1"/>
  <c r="BZ55" i="26"/>
  <c r="CO20" i="26"/>
  <c r="BZ30" i="44"/>
  <c r="CY30" i="44" s="1"/>
  <c r="BY15" i="26"/>
  <c r="U33" i="44" s="1"/>
  <c r="CA52" i="26"/>
  <c r="C20" i="38"/>
  <c r="I42" i="30"/>
  <c r="I4" i="30" s="1"/>
  <c r="I5" i="30" s="1"/>
  <c r="C31" i="39"/>
  <c r="C26" i="39"/>
  <c r="C28" i="39"/>
  <c r="C20" i="39"/>
  <c r="M42" i="40"/>
  <c r="M4" i="40" s="1"/>
  <c r="L34" i="40"/>
  <c r="D34" i="40"/>
  <c r="D42" i="40"/>
  <c r="D4" i="40" s="1"/>
  <c r="D5" i="40" s="1"/>
  <c r="K42" i="40"/>
  <c r="K4" i="40" s="1"/>
  <c r="G45" i="41"/>
  <c r="I34" i="41"/>
  <c r="L34" i="38"/>
  <c r="H42" i="38"/>
  <c r="H4" i="38" s="1"/>
  <c r="H34" i="38"/>
  <c r="BA11" i="26"/>
  <c r="BQ68" i="26"/>
  <c r="CE10" i="26"/>
  <c r="CE45" i="26" s="1"/>
  <c r="AZ15" i="26"/>
  <c r="BL4" i="26"/>
  <c r="AW4" i="26"/>
  <c r="AW31" i="26" s="1"/>
  <c r="BL75" i="26"/>
  <c r="AU12" i="26"/>
  <c r="CA43" i="26"/>
  <c r="BK72" i="26"/>
  <c r="C26" i="40"/>
  <c r="K42" i="39"/>
  <c r="K4" i="39" s="1"/>
  <c r="C27" i="39"/>
  <c r="H42" i="28"/>
  <c r="H4" i="28" s="1"/>
  <c r="Z38" i="44"/>
  <c r="CE35" i="44" s="1"/>
  <c r="DD35" i="44" s="1"/>
  <c r="J42" i="29"/>
  <c r="J4" i="29" s="1"/>
  <c r="K45" i="39"/>
  <c r="E45" i="39"/>
  <c r="L45" i="39"/>
  <c r="F34" i="39"/>
  <c r="G42" i="39"/>
  <c r="G4" i="39" s="1"/>
  <c r="F45" i="39"/>
  <c r="M45" i="40"/>
  <c r="BQ20" i="44"/>
  <c r="CP20" i="44" s="1"/>
  <c r="BG5" i="26"/>
  <c r="C31" i="38"/>
  <c r="C27" i="38"/>
  <c r="BO64" i="26"/>
  <c r="BO76" i="26"/>
  <c r="BO67" i="26"/>
  <c r="CD20" i="44"/>
  <c r="DC20" i="44" s="1"/>
  <c r="I42" i="41"/>
  <c r="I4" i="41" s="1"/>
  <c r="H42" i="41"/>
  <c r="H4" i="41" s="1"/>
  <c r="I45" i="38"/>
  <c r="G42" i="38"/>
  <c r="G4" i="38" s="1"/>
  <c r="AZ11" i="26"/>
  <c r="AZ19" i="26"/>
  <c r="CD12" i="26"/>
  <c r="CD47" i="26" s="1"/>
  <c r="BO69" i="26"/>
  <c r="AT15" i="26"/>
  <c r="C32" i="40"/>
  <c r="R42" i="40"/>
  <c r="R4" i="40" s="1"/>
  <c r="CD7" i="26"/>
  <c r="CD42" i="26" s="1"/>
  <c r="BO75" i="26"/>
  <c r="BP4" i="26"/>
  <c r="BV25" i="44"/>
  <c r="CU25" i="44" s="1"/>
  <c r="C34" i="27"/>
  <c r="D37" i="27" s="1"/>
  <c r="C5" i="27"/>
  <c r="E5" i="30"/>
  <c r="E34" i="30"/>
  <c r="K45" i="30"/>
  <c r="M42" i="30"/>
  <c r="M4" i="30" s="1"/>
  <c r="E42" i="29"/>
  <c r="E4" i="29" s="1"/>
  <c r="M45" i="34"/>
  <c r="Q34" i="34"/>
  <c r="BW14" i="26"/>
  <c r="BW49" i="26" s="1"/>
  <c r="BP46" i="44"/>
  <c r="F22" i="42" s="1"/>
  <c r="O42" i="27"/>
  <c r="O4" i="27" s="1"/>
  <c r="K45" i="28"/>
  <c r="L42" i="28"/>
  <c r="L4" i="28" s="1"/>
  <c r="G45" i="28"/>
  <c r="I42" i="28"/>
  <c r="I4" i="28" s="1"/>
  <c r="I5" i="28" s="1"/>
  <c r="D34" i="27"/>
  <c r="J42" i="27"/>
  <c r="J4" i="27" s="1"/>
  <c r="O34" i="30"/>
  <c r="G34" i="30"/>
  <c r="G33" i="30" s="1"/>
  <c r="C34" i="29"/>
  <c r="D37" i="29" s="1"/>
  <c r="H34" i="29"/>
  <c r="Q42" i="29"/>
  <c r="Q4" i="29" s="1"/>
  <c r="M34" i="29"/>
  <c r="R42" i="34"/>
  <c r="R4" i="34" s="1"/>
  <c r="N34" i="34"/>
  <c r="O42" i="33"/>
  <c r="O4" i="33" s="1"/>
  <c r="M42" i="33"/>
  <c r="M4" i="33" s="1"/>
  <c r="H45" i="35"/>
  <c r="M45" i="35"/>
  <c r="E42" i="35"/>
  <c r="E4" i="35" s="1"/>
  <c r="G42" i="36"/>
  <c r="G4" i="36" s="1"/>
  <c r="H45" i="40"/>
  <c r="F45" i="40"/>
  <c r="D45" i="41"/>
  <c r="N45" i="41"/>
  <c r="D34" i="41"/>
  <c r="R34" i="38"/>
  <c r="S34" i="38" s="1"/>
  <c r="T34" i="38" s="1"/>
  <c r="U34" i="38" s="1"/>
  <c r="V34" i="38" s="1"/>
  <c r="W34" i="38" s="1"/>
  <c r="X34" i="38" s="1"/>
  <c r="BP25" i="26"/>
  <c r="CE18" i="26"/>
  <c r="X63" i="44" s="1"/>
  <c r="CC60" i="44" s="1"/>
  <c r="DB60" i="44" s="1"/>
  <c r="CE8" i="26"/>
  <c r="CE43" i="26" s="1"/>
  <c r="BO70" i="26"/>
  <c r="BL66" i="26"/>
  <c r="BL68" i="26"/>
  <c r="AV19" i="26"/>
  <c r="BZ11" i="26"/>
  <c r="BZ46" i="26" s="1"/>
  <c r="AT9" i="26"/>
  <c r="AT16" i="26"/>
  <c r="BV20" i="44"/>
  <c r="CU20" i="44" s="1"/>
  <c r="Q45" i="27"/>
  <c r="D45" i="28"/>
  <c r="M45" i="28"/>
  <c r="M45" i="27"/>
  <c r="R34" i="27"/>
  <c r="S34" i="27" s="1"/>
  <c r="T34" i="27" s="1"/>
  <c r="U34" i="27" s="1"/>
  <c r="V34" i="27" s="1"/>
  <c r="W34" i="27" s="1"/>
  <c r="X34" i="27" s="1"/>
  <c r="D45" i="30"/>
  <c r="L42" i="30"/>
  <c r="L4" i="30" s="1"/>
  <c r="H34" i="30"/>
  <c r="L45" i="30"/>
  <c r="O42" i="34"/>
  <c r="O4" i="34" s="1"/>
  <c r="N45" i="33"/>
  <c r="K34" i="33"/>
  <c r="D45" i="33"/>
  <c r="R45" i="35"/>
  <c r="D45" i="35"/>
  <c r="M34" i="35"/>
  <c r="O45" i="32"/>
  <c r="M45" i="32"/>
  <c r="M34" i="32"/>
  <c r="F34" i="36"/>
  <c r="R45" i="36"/>
  <c r="M34" i="39"/>
  <c r="Q34" i="39"/>
  <c r="BA20" i="26"/>
  <c r="BA14" i="26"/>
  <c r="CE14" i="26"/>
  <c r="CE6" i="26"/>
  <c r="CE41" i="26" s="1"/>
  <c r="CB12" i="26"/>
  <c r="CB47" i="26" s="1"/>
  <c r="BM67" i="26"/>
  <c r="CA7" i="26"/>
  <c r="CA42" i="26" s="1"/>
  <c r="CA10" i="26"/>
  <c r="CA45" i="26" s="1"/>
  <c r="BZ12" i="26"/>
  <c r="R38" i="44" s="1"/>
  <c r="BK65" i="26"/>
  <c r="AU11" i="26"/>
  <c r="AT11" i="26"/>
  <c r="AS10" i="26"/>
  <c r="P42" i="27"/>
  <c r="P4" i="27" s="1"/>
  <c r="P34" i="27"/>
  <c r="F5" i="32"/>
  <c r="F34" i="32"/>
  <c r="K42" i="41"/>
  <c r="K4" i="41" s="1"/>
  <c r="J34" i="41"/>
  <c r="J42" i="41"/>
  <c r="J4" i="41" s="1"/>
  <c r="BQ75" i="26"/>
  <c r="BA18" i="26"/>
  <c r="CF16" i="26"/>
  <c r="BQ73" i="26"/>
  <c r="BA17" i="26"/>
  <c r="BP47" i="44"/>
  <c r="CO47" i="44" s="1"/>
  <c r="C31" i="32"/>
  <c r="H5" i="29"/>
  <c r="CA11" i="26"/>
  <c r="AY13" i="26"/>
  <c r="K34" i="28"/>
  <c r="G5" i="29"/>
  <c r="G42" i="29"/>
  <c r="G4" i="29" s="1"/>
  <c r="CA6" i="26"/>
  <c r="CA41" i="26" s="1"/>
  <c r="AV7" i="26"/>
  <c r="AV20" i="26"/>
  <c r="CA20" i="26"/>
  <c r="CP20" i="26" s="1"/>
  <c r="BX12" i="26"/>
  <c r="BX47" i="26" s="1"/>
  <c r="BW25" i="44"/>
  <c r="CV25" i="44" s="1"/>
  <c r="BU15" i="44"/>
  <c r="CT15" i="44" s="1"/>
  <c r="BV10" i="26"/>
  <c r="C32" i="32"/>
  <c r="C29" i="32"/>
  <c r="C31" i="28"/>
  <c r="BX6" i="26"/>
  <c r="BX41" i="26" s="1"/>
  <c r="H34" i="41"/>
  <c r="BA12" i="26"/>
  <c r="K42" i="28"/>
  <c r="K4" i="28" s="1"/>
  <c r="O45" i="41"/>
  <c r="AI32" i="26"/>
  <c r="BO72" i="26"/>
  <c r="BO71" i="26"/>
  <c r="BO66" i="26"/>
  <c r="BO74" i="26"/>
  <c r="CB10" i="26"/>
  <c r="P48" i="44" s="1"/>
  <c r="BM72" i="26"/>
  <c r="BM77" i="26"/>
  <c r="BV15" i="26"/>
  <c r="BV50" i="26" s="1"/>
  <c r="E34" i="28"/>
  <c r="E5" i="28"/>
  <c r="L42" i="35"/>
  <c r="L4" i="35" s="1"/>
  <c r="I45" i="32"/>
  <c r="J45" i="32"/>
  <c r="P42" i="36"/>
  <c r="P4" i="36" s="1"/>
  <c r="O42" i="36"/>
  <c r="O4" i="36" s="1"/>
  <c r="C20" i="28"/>
  <c r="K43" i="44"/>
  <c r="BP40" i="44" s="1"/>
  <c r="CO40" i="44" s="1"/>
  <c r="G45" i="40"/>
  <c r="AY14" i="26"/>
  <c r="BL76" i="26"/>
  <c r="R34" i="30"/>
  <c r="S34" i="30" s="1"/>
  <c r="T34" i="30" s="1"/>
  <c r="U34" i="30" s="1"/>
  <c r="V34" i="30" s="1"/>
  <c r="W34" i="30" s="1"/>
  <c r="X34" i="30" s="1"/>
  <c r="N45" i="29"/>
  <c r="H45" i="32"/>
  <c r="G45" i="32"/>
  <c r="BM69" i="26"/>
  <c r="BM64" i="26"/>
  <c r="CB7" i="26"/>
  <c r="M48" i="44" s="1"/>
  <c r="BM66" i="26"/>
  <c r="BM73" i="26"/>
  <c r="BM75" i="26"/>
  <c r="CA15" i="26"/>
  <c r="U43" i="44" s="1"/>
  <c r="BZ40" i="44" s="1"/>
  <c r="BZ42" i="44" s="1"/>
  <c r="CY42" i="44" s="1"/>
  <c r="C20" i="32"/>
  <c r="C32" i="28"/>
  <c r="AV9" i="26"/>
  <c r="AW10" i="26"/>
  <c r="M42" i="32"/>
  <c r="M4" i="32" s="1"/>
  <c r="BT49" i="26"/>
  <c r="T8" i="44"/>
  <c r="C32" i="36"/>
  <c r="C29" i="36"/>
  <c r="N42" i="40"/>
  <c r="N4" i="40" s="1"/>
  <c r="O42" i="40"/>
  <c r="O4" i="40" s="1"/>
  <c r="N45" i="40"/>
  <c r="H45" i="41"/>
  <c r="I45" i="41"/>
  <c r="CF17" i="26"/>
  <c r="BA10" i="26"/>
  <c r="BA9" i="26"/>
  <c r="AY16" i="26"/>
  <c r="BO73" i="26"/>
  <c r="AY17" i="26"/>
  <c r="BM21" i="26"/>
  <c r="BM22" i="26" s="1"/>
  <c r="BN68" i="26"/>
  <c r="L45" i="28"/>
  <c r="J45" i="28"/>
  <c r="G42" i="30"/>
  <c r="G4" i="30" s="1"/>
  <c r="N42" i="30"/>
  <c r="N4" i="30" s="1"/>
  <c r="R45" i="30"/>
  <c r="D45" i="29"/>
  <c r="I42" i="29"/>
  <c r="I4" i="29" s="1"/>
  <c r="C34" i="34"/>
  <c r="D37" i="34" s="1"/>
  <c r="K42" i="33"/>
  <c r="K4" i="33" s="1"/>
  <c r="G42" i="33"/>
  <c r="G4" i="33" s="1"/>
  <c r="O42" i="35"/>
  <c r="O4" i="35" s="1"/>
  <c r="E45" i="35"/>
  <c r="F45" i="35"/>
  <c r="C34" i="32"/>
  <c r="D37" i="32" s="1"/>
  <c r="J42" i="39"/>
  <c r="J4" i="39" s="1"/>
  <c r="D45" i="39"/>
  <c r="K45" i="40"/>
  <c r="M34" i="40"/>
  <c r="BP21" i="26"/>
  <c r="BP22" i="26" s="1"/>
  <c r="CF6" i="26"/>
  <c r="AR15" i="26"/>
  <c r="AR18" i="26"/>
  <c r="BF71" i="26"/>
  <c r="H34" i="27"/>
  <c r="O42" i="30"/>
  <c r="O4" i="30" s="1"/>
  <c r="J45" i="30"/>
  <c r="Q42" i="33"/>
  <c r="Q4" i="33" s="1"/>
  <c r="M34" i="33"/>
  <c r="O34" i="32"/>
  <c r="R45" i="32"/>
  <c r="C34" i="36"/>
  <c r="D37" i="36" s="1"/>
  <c r="CF14" i="26"/>
  <c r="CB18" i="26"/>
  <c r="X48" i="44" s="1"/>
  <c r="CB14" i="26"/>
  <c r="T48" i="44" s="1"/>
  <c r="CB9" i="26"/>
  <c r="O48" i="44" s="1"/>
  <c r="BT45" i="44" s="1"/>
  <c r="BT47" i="44" s="1"/>
  <c r="CS47" i="44" s="1"/>
  <c r="BZ8" i="26"/>
  <c r="BY11" i="26"/>
  <c r="BY46" i="26" s="1"/>
  <c r="K42" i="34"/>
  <c r="K4" i="34" s="1"/>
  <c r="K34" i="34"/>
  <c r="Q34" i="33"/>
  <c r="R45" i="33"/>
  <c r="Q45" i="33"/>
  <c r="I45" i="33"/>
  <c r="I34" i="33"/>
  <c r="AK32" i="26"/>
  <c r="BQ72" i="26"/>
  <c r="CF15" i="26"/>
  <c r="CF50" i="26" s="1"/>
  <c r="BA16" i="26"/>
  <c r="BA15" i="26"/>
  <c r="BT30" i="44"/>
  <c r="CS30" i="44" s="1"/>
  <c r="BY9" i="26"/>
  <c r="BY44" i="26" s="1"/>
  <c r="BT25" i="44"/>
  <c r="BX9" i="26"/>
  <c r="N53" i="44"/>
  <c r="BS50" i="44" s="1"/>
  <c r="BS51" i="44" s="1"/>
  <c r="CR51" i="44" s="1"/>
  <c r="CC43" i="26"/>
  <c r="O45" i="27"/>
  <c r="P45" i="27"/>
  <c r="I34" i="27"/>
  <c r="I42" i="27"/>
  <c r="I4" i="27" s="1"/>
  <c r="D42" i="28"/>
  <c r="D4" i="28" s="1"/>
  <c r="E42" i="28"/>
  <c r="E4" i="28" s="1"/>
  <c r="K34" i="27"/>
  <c r="K42" i="27"/>
  <c r="K4" i="27" s="1"/>
  <c r="D5" i="30"/>
  <c r="D42" i="30"/>
  <c r="D4" i="30" s="1"/>
  <c r="M45" i="29"/>
  <c r="L45" i="29"/>
  <c r="O34" i="29"/>
  <c r="O42" i="29"/>
  <c r="O4" i="29" s="1"/>
  <c r="P42" i="29"/>
  <c r="P4" i="29" s="1"/>
  <c r="E45" i="29"/>
  <c r="F45" i="29"/>
  <c r="P45" i="29"/>
  <c r="Q45" i="29"/>
  <c r="Q42" i="32"/>
  <c r="Q4" i="32" s="1"/>
  <c r="Q34" i="32"/>
  <c r="D42" i="32"/>
  <c r="D4" i="32" s="1"/>
  <c r="D34" i="32"/>
  <c r="Q45" i="36"/>
  <c r="Q34" i="36"/>
  <c r="D34" i="36"/>
  <c r="D42" i="36"/>
  <c r="D4" i="36" s="1"/>
  <c r="D5" i="36" s="1"/>
  <c r="M45" i="36"/>
  <c r="N45" i="36"/>
  <c r="O34" i="41"/>
  <c r="P42" i="41"/>
  <c r="P4" i="41" s="1"/>
  <c r="AY4" i="26"/>
  <c r="AY31" i="26" s="1"/>
  <c r="BN4" i="26"/>
  <c r="AY9" i="26"/>
  <c r="AY8" i="26"/>
  <c r="BO65" i="26"/>
  <c r="AX12" i="26"/>
  <c r="BN69" i="26"/>
  <c r="CC12" i="26"/>
  <c r="BN75" i="26"/>
  <c r="AX19" i="26"/>
  <c r="BM65" i="26"/>
  <c r="AW8" i="26"/>
  <c r="CB8" i="26"/>
  <c r="AG32" i="26"/>
  <c r="AW15" i="26"/>
  <c r="CA12" i="26"/>
  <c r="CA47" i="26" s="1"/>
  <c r="BL69" i="26"/>
  <c r="AV12" i="26"/>
  <c r="BL73" i="26"/>
  <c r="AV16" i="26"/>
  <c r="CA16" i="26"/>
  <c r="AV17" i="26"/>
  <c r="AU15" i="26"/>
  <c r="BK71" i="26"/>
  <c r="BZ18" i="26"/>
  <c r="X38" i="44" s="1"/>
  <c r="BK75" i="26"/>
  <c r="AL18" i="26"/>
  <c r="AU8" i="26"/>
  <c r="BK64" i="26"/>
  <c r="BK69" i="26"/>
  <c r="BK77" i="26"/>
  <c r="BP52" i="44"/>
  <c r="C28" i="28"/>
  <c r="BK73" i="26"/>
  <c r="BL77" i="26"/>
  <c r="CB15" i="26"/>
  <c r="AX13" i="26"/>
  <c r="BM25" i="26"/>
  <c r="BX20" i="26"/>
  <c r="AI30" i="26"/>
  <c r="M42" i="28"/>
  <c r="M4" i="28" s="1"/>
  <c r="AW16" i="26"/>
  <c r="M34" i="36"/>
  <c r="CF44" i="26"/>
  <c r="O68" i="44"/>
  <c r="CD13" i="26"/>
  <c r="BI4" i="26"/>
  <c r="E42" i="30"/>
  <c r="E4" i="30" s="1"/>
  <c r="CA44" i="26"/>
  <c r="O43" i="44"/>
  <c r="I42" i="34"/>
  <c r="I4" i="34" s="1"/>
  <c r="H34" i="34"/>
  <c r="K45" i="33"/>
  <c r="J45" i="33"/>
  <c r="D34" i="33"/>
  <c r="D42" i="33"/>
  <c r="D4" i="33" s="1"/>
  <c r="K42" i="35"/>
  <c r="K4" i="35" s="1"/>
  <c r="K34" i="35"/>
  <c r="C27" i="35"/>
  <c r="C26" i="35"/>
  <c r="C28" i="35"/>
  <c r="C29" i="35"/>
  <c r="C20" i="35"/>
  <c r="BO21" i="26"/>
  <c r="BO26" i="26" s="1"/>
  <c r="BO25" i="26"/>
  <c r="CE15" i="26"/>
  <c r="AZ4" i="26"/>
  <c r="AZ31" i="26" s="1"/>
  <c r="BO4" i="26"/>
  <c r="BI5" i="26"/>
  <c r="BQ30" i="44"/>
  <c r="CP30" i="44" s="1"/>
  <c r="BY6" i="26"/>
  <c r="L33" i="44" s="1"/>
  <c r="CC30" i="44"/>
  <c r="DB30" i="44" s="1"/>
  <c r="BY18" i="26"/>
  <c r="AJ30" i="26"/>
  <c r="Y68" i="44"/>
  <c r="CF54" i="26"/>
  <c r="AJ32" i="26"/>
  <c r="G34" i="27"/>
  <c r="G42" i="27"/>
  <c r="G4" i="27" s="1"/>
  <c r="H42" i="27"/>
  <c r="H4" i="27" s="1"/>
  <c r="H45" i="28"/>
  <c r="H34" i="28"/>
  <c r="H33" i="28" s="1"/>
  <c r="O45" i="28"/>
  <c r="O34" i="28"/>
  <c r="R42" i="28"/>
  <c r="R4" i="28" s="1"/>
  <c r="Q34" i="28"/>
  <c r="Q42" i="28"/>
  <c r="Q4" i="28" s="1"/>
  <c r="L34" i="27"/>
  <c r="L42" i="27"/>
  <c r="L4" i="27" s="1"/>
  <c r="K42" i="30"/>
  <c r="K4" i="30" s="1"/>
  <c r="K34" i="30"/>
  <c r="K34" i="29"/>
  <c r="K42" i="29"/>
  <c r="K4" i="29" s="1"/>
  <c r="P42" i="34"/>
  <c r="P4" i="34" s="1"/>
  <c r="P34" i="34"/>
  <c r="R34" i="36"/>
  <c r="S34" i="36" s="1"/>
  <c r="T34" i="36" s="1"/>
  <c r="U34" i="36" s="1"/>
  <c r="V34" i="36" s="1"/>
  <c r="W34" i="36" s="1"/>
  <c r="X34" i="36" s="1"/>
  <c r="R42" i="36"/>
  <c r="R4" i="36" s="1"/>
  <c r="L42" i="36"/>
  <c r="L4" i="36" s="1"/>
  <c r="M42" i="36"/>
  <c r="M4" i="36" s="1"/>
  <c r="D45" i="40"/>
  <c r="C34" i="40"/>
  <c r="D37" i="40" s="1"/>
  <c r="E34" i="40"/>
  <c r="F42" i="40"/>
  <c r="F4" i="40" s="1"/>
  <c r="E42" i="40"/>
  <c r="E4" i="40" s="1"/>
  <c r="I45" i="40"/>
  <c r="J45" i="40"/>
  <c r="AX8" i="26"/>
  <c r="BN70" i="26"/>
  <c r="BN64" i="26"/>
  <c r="BN71" i="26"/>
  <c r="CB11" i="26"/>
  <c r="AW11" i="26"/>
  <c r="AW12" i="26"/>
  <c r="BM68" i="26"/>
  <c r="BZ16" i="26"/>
  <c r="BJ21" i="26"/>
  <c r="BJ22" i="26" s="1"/>
  <c r="BJ23" i="26" s="1"/>
  <c r="BJ24" i="26" s="1"/>
  <c r="BZ10" i="26"/>
  <c r="BK67" i="26"/>
  <c r="BP27" i="44"/>
  <c r="BP26" i="44"/>
  <c r="C29" i="28"/>
  <c r="N68" i="44"/>
  <c r="BS65" i="44" s="1"/>
  <c r="CC48" i="26"/>
  <c r="AF31" i="26"/>
  <c r="C31" i="35"/>
  <c r="J34" i="33"/>
  <c r="C32" i="35"/>
  <c r="P34" i="29"/>
  <c r="H42" i="29"/>
  <c r="H4" i="29" s="1"/>
  <c r="L34" i="30"/>
  <c r="E45" i="40"/>
  <c r="CC18" i="26"/>
  <c r="CA48" i="26"/>
  <c r="S43" i="44"/>
  <c r="F34" i="27"/>
  <c r="G45" i="27"/>
  <c r="Q34" i="27"/>
  <c r="P45" i="28"/>
  <c r="G34" i="29"/>
  <c r="L42" i="34"/>
  <c r="L4" i="34" s="1"/>
  <c r="L34" i="34"/>
  <c r="M45" i="33"/>
  <c r="L45" i="33"/>
  <c r="I45" i="35"/>
  <c r="S68" i="44"/>
  <c r="CF48" i="26"/>
  <c r="BA7" i="26"/>
  <c r="BQ69" i="26"/>
  <c r="BQ67" i="26"/>
  <c r="BQ74" i="26"/>
  <c r="CE11" i="26"/>
  <c r="AZ9" i="26"/>
  <c r="AZ10" i="26"/>
  <c r="BX15" i="26"/>
  <c r="BZ25" i="44"/>
  <c r="CY25" i="44" s="1"/>
  <c r="AC1" i="26"/>
  <c r="AA1" i="26"/>
  <c r="AJ15" i="44" s="1"/>
  <c r="R45" i="27"/>
  <c r="G5" i="28"/>
  <c r="G34" i="28"/>
  <c r="C34" i="28"/>
  <c r="D37" i="28" s="1"/>
  <c r="P34" i="28"/>
  <c r="P42" i="28"/>
  <c r="P4" i="28" s="1"/>
  <c r="N45" i="28"/>
  <c r="N42" i="28"/>
  <c r="N4" i="28" s="1"/>
  <c r="F45" i="30"/>
  <c r="G45" i="30"/>
  <c r="F34" i="30"/>
  <c r="F33" i="30" s="1"/>
  <c r="N45" i="30"/>
  <c r="N34" i="30"/>
  <c r="M45" i="30"/>
  <c r="D5" i="29"/>
  <c r="D34" i="29"/>
  <c r="E5" i="29"/>
  <c r="E34" i="29"/>
  <c r="J45" i="29"/>
  <c r="N45" i="32"/>
  <c r="Q42" i="36"/>
  <c r="Q4" i="36" s="1"/>
  <c r="P34" i="36"/>
  <c r="C28" i="36"/>
  <c r="C26" i="36"/>
  <c r="C28" i="40"/>
  <c r="C29" i="40"/>
  <c r="CC7" i="26"/>
  <c r="CC42" i="26" s="1"/>
  <c r="BN84" i="26" s="1"/>
  <c r="BL64" i="26"/>
  <c r="BL72" i="26"/>
  <c r="BL65" i="26"/>
  <c r="BL67" i="26"/>
  <c r="AV11" i="26"/>
  <c r="BL71" i="26"/>
  <c r="AV14" i="26"/>
  <c r="L45" i="27"/>
  <c r="J34" i="30"/>
  <c r="H45" i="29"/>
  <c r="D45" i="34"/>
  <c r="F34" i="35"/>
  <c r="J34" i="32"/>
  <c r="J34" i="36"/>
  <c r="L42" i="39"/>
  <c r="L4" i="39" s="1"/>
  <c r="M42" i="39"/>
  <c r="M4" i="39" s="1"/>
  <c r="L34" i="39"/>
  <c r="CE19" i="26"/>
  <c r="Y63" i="44" s="1"/>
  <c r="AZ7" i="26"/>
  <c r="BM71" i="26"/>
  <c r="AV15" i="26"/>
  <c r="BZ14" i="26"/>
  <c r="BZ49" i="26" s="1"/>
  <c r="AU7" i="26"/>
  <c r="BV9" i="26"/>
  <c r="BV44" i="26" s="1"/>
  <c r="F42" i="30"/>
  <c r="F4" i="30" s="1"/>
  <c r="M45" i="39"/>
  <c r="K34" i="40"/>
  <c r="BA8" i="26"/>
  <c r="D45" i="27"/>
  <c r="H45" i="27"/>
  <c r="P42" i="30"/>
  <c r="P4" i="30" s="1"/>
  <c r="O45" i="30"/>
  <c r="F34" i="34"/>
  <c r="D45" i="32"/>
  <c r="F42" i="32"/>
  <c r="F4" i="32" s="1"/>
  <c r="N42" i="36"/>
  <c r="N4" i="36" s="1"/>
  <c r="P45" i="41"/>
  <c r="BQ76" i="26"/>
  <c r="AY18" i="26"/>
  <c r="CB16" i="26"/>
  <c r="BY20" i="26"/>
  <c r="BW18" i="26"/>
  <c r="K63" i="44"/>
  <c r="CE40" i="26"/>
  <c r="C5" i="41"/>
  <c r="D42" i="41"/>
  <c r="D4" i="41" s="1"/>
  <c r="C34" i="41"/>
  <c r="D37" i="41" s="1"/>
  <c r="L34" i="41"/>
  <c r="L45" i="41"/>
  <c r="M45" i="41"/>
  <c r="F45" i="38"/>
  <c r="F34" i="38"/>
  <c r="G45" i="38"/>
  <c r="M45" i="38"/>
  <c r="N45" i="38"/>
  <c r="M34" i="38"/>
  <c r="M42" i="38"/>
  <c r="M4" i="38" s="1"/>
  <c r="E34" i="27"/>
  <c r="F45" i="27"/>
  <c r="E45" i="27"/>
  <c r="CD20" i="26"/>
  <c r="Z58" i="44" s="1"/>
  <c r="AY20" i="26"/>
  <c r="BO77" i="26"/>
  <c r="CU30" i="44"/>
  <c r="Q42" i="41"/>
  <c r="Q4" i="41" s="1"/>
  <c r="Q34" i="41"/>
  <c r="R42" i="41"/>
  <c r="R4" i="41" s="1"/>
  <c r="L45" i="38"/>
  <c r="K45" i="38"/>
  <c r="R45" i="38"/>
  <c r="Q45" i="38"/>
  <c r="D42" i="38"/>
  <c r="D4" i="38" s="1"/>
  <c r="D5" i="38" s="1"/>
  <c r="D34" i="38"/>
  <c r="O42" i="38"/>
  <c r="O4" i="38" s="1"/>
  <c r="N34" i="38"/>
  <c r="N42" i="38"/>
  <c r="N4" i="38" s="1"/>
  <c r="CD43" i="26"/>
  <c r="N58" i="44"/>
  <c r="CD15" i="26"/>
  <c r="BN21" i="26"/>
  <c r="BQ15" i="26"/>
  <c r="CD17" i="26"/>
  <c r="AY11" i="26"/>
  <c r="CD11" i="26"/>
  <c r="AY12" i="26"/>
  <c r="BO68" i="26"/>
  <c r="AI31" i="26"/>
  <c r="AY7" i="26"/>
  <c r="CD6" i="26"/>
  <c r="AX4" i="26"/>
  <c r="AX31" i="26" s="1"/>
  <c r="BM4" i="26"/>
  <c r="CC4" i="26" s="1"/>
  <c r="AH30" i="26"/>
  <c r="AX9" i="26"/>
  <c r="BN66" i="26"/>
  <c r="CC16" i="26"/>
  <c r="AX16" i="26"/>
  <c r="BN73" i="26"/>
  <c r="AX20" i="26"/>
  <c r="CC20" i="26"/>
  <c r="BN77" i="26"/>
  <c r="CB17" i="26"/>
  <c r="BL25" i="26"/>
  <c r="BL21" i="26"/>
  <c r="BL26" i="26" s="1"/>
  <c r="CB6" i="26"/>
  <c r="AW7" i="26"/>
  <c r="AG31" i="26"/>
  <c r="AW19" i="26"/>
  <c r="AW20" i="26"/>
  <c r="BM76" i="26"/>
  <c r="CB19" i="26"/>
  <c r="BM70" i="26"/>
  <c r="AW13" i="26"/>
  <c r="AW14" i="26"/>
  <c r="CB13" i="26"/>
  <c r="BM74" i="26"/>
  <c r="AW17" i="26"/>
  <c r="CA19" i="26"/>
  <c r="BK21" i="26"/>
  <c r="AU10" i="26"/>
  <c r="AU9" i="26"/>
  <c r="BK66" i="26"/>
  <c r="BY14" i="26"/>
  <c r="BY30" i="44"/>
  <c r="BI25" i="26"/>
  <c r="CJ30" i="44" s="1"/>
  <c r="DI30" i="44" s="1"/>
  <c r="CA30" i="44"/>
  <c r="BJ64" i="26"/>
  <c r="AT8" i="26"/>
  <c r="BJ72" i="26"/>
  <c r="BY7" i="26"/>
  <c r="BJ73" i="26"/>
  <c r="BJ66" i="26"/>
  <c r="BJ65" i="26"/>
  <c r="AT7" i="26"/>
  <c r="BJ74" i="26"/>
  <c r="BJ67" i="26"/>
  <c r="BJ68" i="26"/>
  <c r="BJ71" i="26"/>
  <c r="BJ77" i="26"/>
  <c r="AT12" i="26"/>
  <c r="BJ69" i="26"/>
  <c r="BY12" i="26"/>
  <c r="BY13" i="26"/>
  <c r="BJ70" i="26"/>
  <c r="AT14" i="26"/>
  <c r="AT13" i="26"/>
  <c r="BY19" i="26"/>
  <c r="AT19" i="26"/>
  <c r="AT20" i="26"/>
  <c r="BJ76" i="26"/>
  <c r="BX18" i="26"/>
  <c r="CC25" i="44"/>
  <c r="BH25" i="26"/>
  <c r="CJ25" i="44" s="1"/>
  <c r="DI25" i="44" s="1"/>
  <c r="BS20" i="44"/>
  <c r="BW8" i="26"/>
  <c r="BI68" i="26"/>
  <c r="BI66" i="26"/>
  <c r="BI69" i="26"/>
  <c r="BI64" i="26"/>
  <c r="AS7" i="26"/>
  <c r="BX7" i="26"/>
  <c r="BI77" i="26"/>
  <c r="BI72" i="26"/>
  <c r="BI73" i="26"/>
  <c r="BI67" i="26"/>
  <c r="BX13" i="26"/>
  <c r="BI70" i="26"/>
  <c r="AS13" i="26"/>
  <c r="BX17" i="26"/>
  <c r="AS17" i="26"/>
  <c r="BI74" i="26"/>
  <c r="AS18" i="26"/>
  <c r="BH63" i="26"/>
  <c r="BW4" i="26"/>
  <c r="BW10" i="26"/>
  <c r="AR10" i="26"/>
  <c r="AL10" i="26"/>
  <c r="BH67" i="26"/>
  <c r="AR11" i="26"/>
  <c r="BH69" i="26"/>
  <c r="AR12" i="26"/>
  <c r="BH73" i="26"/>
  <c r="BW16" i="26"/>
  <c r="BW20" i="26"/>
  <c r="AR20" i="26"/>
  <c r="BH77" i="26"/>
  <c r="CE15" i="44"/>
  <c r="DD15" i="44" s="1"/>
  <c r="BV20" i="26"/>
  <c r="BQ20" i="26"/>
  <c r="BQ15" i="44"/>
  <c r="BF5" i="26"/>
  <c r="BV6" i="26"/>
  <c r="BQ6" i="26"/>
  <c r="BQ5" i="26" s="1"/>
  <c r="CG5" i="26" s="1"/>
  <c r="CH5" i="26" s="1"/>
  <c r="BQ14" i="26"/>
  <c r="BY15" i="44"/>
  <c r="CX15" i="44" s="1"/>
  <c r="BW15" i="44"/>
  <c r="BV12" i="26"/>
  <c r="CS15" i="44"/>
  <c r="BV19" i="26"/>
  <c r="CD15" i="44"/>
  <c r="BF25" i="26"/>
  <c r="CJ15" i="44" s="1"/>
  <c r="DI15" i="44" s="1"/>
  <c r="BF21" i="26"/>
  <c r="CF15" i="44" s="1"/>
  <c r="DE15" i="44" s="1"/>
  <c r="BQ19" i="26"/>
  <c r="BT19" i="26"/>
  <c r="BT9" i="26"/>
  <c r="BQ9" i="26"/>
  <c r="BU17" i="26"/>
  <c r="BQ13" i="26"/>
  <c r="BU13" i="26"/>
  <c r="BE25" i="26"/>
  <c r="BE21" i="26"/>
  <c r="BE22" i="26" s="1"/>
  <c r="BU16" i="26"/>
  <c r="BU43" i="26"/>
  <c r="N13" i="44"/>
  <c r="BT18" i="26"/>
  <c r="BQ18" i="26"/>
  <c r="BT10" i="26"/>
  <c r="BQ10" i="26"/>
  <c r="BG71" i="26"/>
  <c r="AL14" i="26"/>
  <c r="AQ14" i="26"/>
  <c r="AL6" i="26"/>
  <c r="AM6" i="26" s="1"/>
  <c r="AA31" i="26"/>
  <c r="BF65" i="26"/>
  <c r="AP8" i="26"/>
  <c r="AP12" i="26"/>
  <c r="BF69" i="26"/>
  <c r="BF73" i="26"/>
  <c r="AP16" i="26"/>
  <c r="AP20" i="26"/>
  <c r="BU20" i="26"/>
  <c r="BF77" i="26"/>
  <c r="BV13" i="26"/>
  <c r="AQ13" i="26"/>
  <c r="Z30" i="26"/>
  <c r="AP4" i="26"/>
  <c r="AP31" i="26" s="1"/>
  <c r="BE4" i="26"/>
  <c r="BF63" i="26" s="1"/>
  <c r="BE77" i="26"/>
  <c r="AL20" i="26"/>
  <c r="BT20" i="26"/>
  <c r="AO20" i="26"/>
  <c r="AO17" i="26"/>
  <c r="AO16" i="26"/>
  <c r="AL16" i="26"/>
  <c r="BE73" i="26"/>
  <c r="BT16" i="26"/>
  <c r="AO13" i="26"/>
  <c r="BT12" i="26"/>
  <c r="BT47" i="26" s="1"/>
  <c r="BE69" i="26"/>
  <c r="AO12" i="26"/>
  <c r="AL12" i="26"/>
  <c r="AO9" i="26"/>
  <c r="BE65" i="26"/>
  <c r="AO8" i="26"/>
  <c r="AL8" i="26"/>
  <c r="BS42" i="44"/>
  <c r="CR42" i="44" s="1"/>
  <c r="CR40" i="44"/>
  <c r="BS41" i="44"/>
  <c r="CR41" i="44" s="1"/>
  <c r="BV14" i="26"/>
  <c r="AR16" i="26"/>
  <c r="C8" i="34"/>
  <c r="C11" i="34" s="1"/>
  <c r="BI71" i="26"/>
  <c r="AP9" i="26"/>
  <c r="AQ7" i="26"/>
  <c r="CQ25" i="44"/>
  <c r="CV30" i="44"/>
  <c r="BI21" i="26"/>
  <c r="BI22" i="26" s="1"/>
  <c r="BI23" i="26" s="1"/>
  <c r="CH30" i="44" s="1"/>
  <c r="AW18" i="26"/>
  <c r="DA20" i="44"/>
  <c r="F5" i="28"/>
  <c r="F34" i="28"/>
  <c r="G42" i="28"/>
  <c r="G4" i="28" s="1"/>
  <c r="N42" i="27"/>
  <c r="N4" i="27" s="1"/>
  <c r="M34" i="27"/>
  <c r="C32" i="29"/>
  <c r="C27" i="29"/>
  <c r="C20" i="29"/>
  <c r="C31" i="29"/>
  <c r="C28" i="29"/>
  <c r="D34" i="34"/>
  <c r="D42" i="34"/>
  <c r="D4" i="34" s="1"/>
  <c r="D5" i="34" s="1"/>
  <c r="I45" i="34"/>
  <c r="I34" i="34"/>
  <c r="F42" i="34"/>
  <c r="F4" i="34" s="1"/>
  <c r="E42" i="34"/>
  <c r="E4" i="34" s="1"/>
  <c r="E34" i="34"/>
  <c r="P45" i="34"/>
  <c r="O45" i="34"/>
  <c r="O34" i="33"/>
  <c r="O45" i="33"/>
  <c r="P45" i="33"/>
  <c r="P45" i="35"/>
  <c r="Q45" i="35"/>
  <c r="R34" i="35"/>
  <c r="S34" i="35" s="1"/>
  <c r="T34" i="35" s="1"/>
  <c r="U34" i="35" s="1"/>
  <c r="V34" i="35" s="1"/>
  <c r="W34" i="35" s="1"/>
  <c r="X34" i="35" s="1"/>
  <c r="R42" i="35"/>
  <c r="R4" i="35" s="1"/>
  <c r="H42" i="35"/>
  <c r="H4" i="35" s="1"/>
  <c r="H34" i="35"/>
  <c r="D42" i="35"/>
  <c r="D4" i="35" s="1"/>
  <c r="D5" i="35" s="1"/>
  <c r="D34" i="35"/>
  <c r="N45" i="35"/>
  <c r="O45" i="35"/>
  <c r="N34" i="35"/>
  <c r="E45" i="32"/>
  <c r="F45" i="32"/>
  <c r="E34" i="32"/>
  <c r="E45" i="36"/>
  <c r="F45" i="36"/>
  <c r="H42" i="36"/>
  <c r="H4" i="36" s="1"/>
  <c r="I42" i="36"/>
  <c r="I4" i="36" s="1"/>
  <c r="Q42" i="39"/>
  <c r="Q4" i="39" s="1"/>
  <c r="P34" i="39"/>
  <c r="P42" i="39"/>
  <c r="P4" i="39" s="1"/>
  <c r="N34" i="39"/>
  <c r="N42" i="39"/>
  <c r="N4" i="39" s="1"/>
  <c r="O42" i="39"/>
  <c r="O4" i="39" s="1"/>
  <c r="O45" i="39"/>
  <c r="N45" i="39"/>
  <c r="G34" i="40"/>
  <c r="G42" i="40"/>
  <c r="G4" i="40" s="1"/>
  <c r="H42" i="40"/>
  <c r="H4" i="40" s="1"/>
  <c r="H34" i="40"/>
  <c r="E34" i="41"/>
  <c r="F42" i="41"/>
  <c r="F4" i="41" s="1"/>
  <c r="E42" i="41"/>
  <c r="E4" i="41" s="1"/>
  <c r="K45" i="41"/>
  <c r="J45" i="41"/>
  <c r="K34" i="38"/>
  <c r="L42" i="38"/>
  <c r="L4" i="38" s="1"/>
  <c r="Q34" i="38"/>
  <c r="Q42" i="38"/>
  <c r="Q4" i="38" s="1"/>
  <c r="R42" i="38"/>
  <c r="R4" i="38" s="1"/>
  <c r="J34" i="38"/>
  <c r="J45" i="38"/>
  <c r="P34" i="38"/>
  <c r="P42" i="38"/>
  <c r="P4" i="38" s="1"/>
  <c r="AX11" i="26"/>
  <c r="AX10" i="26"/>
  <c r="CC10" i="26"/>
  <c r="BN67" i="26"/>
  <c r="AX17" i="26"/>
  <c r="AX18" i="26"/>
  <c r="BN74" i="26"/>
  <c r="BJ5" i="26"/>
  <c r="BZ5" i="26" s="1"/>
  <c r="BZ6" i="26"/>
  <c r="BZ41" i="26" s="1"/>
  <c r="AU14" i="26"/>
  <c r="AU13" i="26"/>
  <c r="BK74" i="26"/>
  <c r="BZ17" i="26"/>
  <c r="AU18" i="26"/>
  <c r="AU17" i="26"/>
  <c r="AU19" i="26"/>
  <c r="AU20" i="26"/>
  <c r="BK76" i="26"/>
  <c r="CB30" i="44"/>
  <c r="BY17" i="26"/>
  <c r="BU30" i="44"/>
  <c r="BY10" i="26"/>
  <c r="AS9" i="26"/>
  <c r="AS8" i="26"/>
  <c r="BX8" i="26"/>
  <c r="BI65" i="26"/>
  <c r="BI75" i="26"/>
  <c r="AR4" i="26"/>
  <c r="AR31" i="26" s="1"/>
  <c r="AB30" i="26"/>
  <c r="BH70" i="26"/>
  <c r="AR14" i="26"/>
  <c r="AR13" i="26"/>
  <c r="BW13" i="26"/>
  <c r="BV15" i="44"/>
  <c r="BV11" i="26"/>
  <c r="BQ16" i="26"/>
  <c r="BQ8" i="26"/>
  <c r="BT8" i="26"/>
  <c r="BF4" i="26"/>
  <c r="AQ4" i="26"/>
  <c r="AQ31" i="26" s="1"/>
  <c r="AA30" i="26"/>
  <c r="AL13" i="26"/>
  <c r="BF70" i="26"/>
  <c r="AP14" i="26"/>
  <c r="AP13" i="26"/>
  <c r="BG76" i="26"/>
  <c r="BG68" i="26"/>
  <c r="BG73" i="26"/>
  <c r="AQ8" i="26"/>
  <c r="BG65" i="26"/>
  <c r="BG67" i="26"/>
  <c r="BV7" i="26"/>
  <c r="BG77" i="26"/>
  <c r="BG75" i="26"/>
  <c r="BG66" i="26"/>
  <c r="BG74" i="26"/>
  <c r="BD25" i="26"/>
  <c r="BT15" i="26"/>
  <c r="BD21" i="26"/>
  <c r="BD26" i="26" s="1"/>
  <c r="BE76" i="26"/>
  <c r="AL19" i="26"/>
  <c r="AO19" i="26"/>
  <c r="BE64" i="26"/>
  <c r="BE66" i="26"/>
  <c r="BE75" i="26"/>
  <c r="BE67" i="26"/>
  <c r="AO7" i="26"/>
  <c r="BE74" i="26"/>
  <c r="AL7" i="26"/>
  <c r="BK70" i="26"/>
  <c r="BP71" i="26"/>
  <c r="BQ11" i="26"/>
  <c r="F42" i="28"/>
  <c r="F4" i="28" s="1"/>
  <c r="K42" i="36"/>
  <c r="K4" i="36" s="1"/>
  <c r="H8" i="30"/>
  <c r="H11" i="30" s="1"/>
  <c r="H20" i="30" s="1"/>
  <c r="BZ13" i="26"/>
  <c r="H34" i="36"/>
  <c r="CE52" i="26"/>
  <c r="W63" i="44"/>
  <c r="K45" i="27"/>
  <c r="J45" i="27"/>
  <c r="O45" i="29"/>
  <c r="N34" i="29"/>
  <c r="G42" i="34"/>
  <c r="G4" i="34" s="1"/>
  <c r="H42" i="34"/>
  <c r="H4" i="34" s="1"/>
  <c r="J45" i="34"/>
  <c r="J34" i="34"/>
  <c r="R34" i="33"/>
  <c r="S34" i="33" s="1"/>
  <c r="T34" i="33" s="1"/>
  <c r="U34" i="33" s="1"/>
  <c r="V34" i="33" s="1"/>
  <c r="W34" i="33" s="1"/>
  <c r="X34" i="33" s="1"/>
  <c r="R42" i="33"/>
  <c r="R4" i="33" s="1"/>
  <c r="P42" i="33"/>
  <c r="P4" i="33" s="1"/>
  <c r="P34" i="33"/>
  <c r="H42" i="33"/>
  <c r="H4" i="33" s="1"/>
  <c r="H34" i="33"/>
  <c r="I42" i="33"/>
  <c r="I4" i="33" s="1"/>
  <c r="G34" i="33"/>
  <c r="H45" i="33"/>
  <c r="E45" i="33"/>
  <c r="F45" i="33"/>
  <c r="F42" i="33"/>
  <c r="F4" i="33" s="1"/>
  <c r="E42" i="33"/>
  <c r="E4" i="33" s="1"/>
  <c r="E34" i="33"/>
  <c r="G34" i="35"/>
  <c r="G45" i="35"/>
  <c r="I34" i="35"/>
  <c r="I42" i="35"/>
  <c r="I4" i="35" s="1"/>
  <c r="J42" i="35"/>
  <c r="J4" i="35" s="1"/>
  <c r="P42" i="35"/>
  <c r="P4" i="35" s="1"/>
  <c r="P34" i="35"/>
  <c r="Q42" i="35"/>
  <c r="Q4" i="35" s="1"/>
  <c r="L45" i="32"/>
  <c r="K45" i="32"/>
  <c r="G42" i="32"/>
  <c r="G4" i="32" s="1"/>
  <c r="H42" i="32"/>
  <c r="H4" i="32" s="1"/>
  <c r="G5" i="32"/>
  <c r="G34" i="32"/>
  <c r="O34" i="36"/>
  <c r="P45" i="36"/>
  <c r="O45" i="36"/>
  <c r="J45" i="36"/>
  <c r="I45" i="36"/>
  <c r="K34" i="36"/>
  <c r="K45" i="36"/>
  <c r="I42" i="39"/>
  <c r="I4" i="39" s="1"/>
  <c r="H34" i="39"/>
  <c r="D34" i="39"/>
  <c r="E42" i="39"/>
  <c r="E4" i="39" s="1"/>
  <c r="D42" i="39"/>
  <c r="D4" i="39" s="1"/>
  <c r="D5" i="39" s="1"/>
  <c r="I34" i="40"/>
  <c r="I42" i="40"/>
  <c r="I4" i="40" s="1"/>
  <c r="J42" i="40"/>
  <c r="J4" i="40" s="1"/>
  <c r="Q45" i="40"/>
  <c r="Q34" i="40"/>
  <c r="E45" i="41"/>
  <c r="F45" i="41"/>
  <c r="N34" i="41"/>
  <c r="N42" i="41"/>
  <c r="N4" i="41" s="1"/>
  <c r="D45" i="38"/>
  <c r="C34" i="38"/>
  <c r="D37" i="38" s="1"/>
  <c r="I34" i="38"/>
  <c r="I42" i="38"/>
  <c r="I4" i="38" s="1"/>
  <c r="O45" i="38"/>
  <c r="O34" i="38"/>
  <c r="E42" i="38"/>
  <c r="E4" i="38" s="1"/>
  <c r="E34" i="38"/>
  <c r="BP64" i="26"/>
  <c r="AZ8" i="26"/>
  <c r="CE7" i="26"/>
  <c r="BP68" i="26"/>
  <c r="BP66" i="26"/>
  <c r="BP76" i="26"/>
  <c r="BP65" i="26"/>
  <c r="BP74" i="26"/>
  <c r="BP70" i="26"/>
  <c r="BP75" i="26"/>
  <c r="BP67" i="26"/>
  <c r="BP72" i="26"/>
  <c r="AZ12" i="26"/>
  <c r="AZ13" i="26"/>
  <c r="CE12" i="26"/>
  <c r="BP69" i="26"/>
  <c r="AZ16" i="26"/>
  <c r="BP73" i="26"/>
  <c r="AZ17" i="26"/>
  <c r="BP77" i="26"/>
  <c r="CE20" i="26"/>
  <c r="AZ20" i="26"/>
  <c r="CD16" i="26"/>
  <c r="K58" i="44"/>
  <c r="BP55" i="44" s="1"/>
  <c r="BP56" i="44" s="1"/>
  <c r="CD40" i="26"/>
  <c r="CC6" i="26"/>
  <c r="AH31" i="26"/>
  <c r="AX7" i="26"/>
  <c r="BN72" i="26"/>
  <c r="AX15" i="26"/>
  <c r="CW30" i="44"/>
  <c r="CZ25" i="44"/>
  <c r="BU25" i="44"/>
  <c r="BX10" i="26"/>
  <c r="BG25" i="26"/>
  <c r="BW15" i="26"/>
  <c r="BG21" i="26"/>
  <c r="BW12" i="26"/>
  <c r="BX19" i="26"/>
  <c r="BI76" i="26"/>
  <c r="AS20" i="26"/>
  <c r="BX14" i="26"/>
  <c r="AS14" i="26"/>
  <c r="AR8" i="26"/>
  <c r="BH68" i="26"/>
  <c r="BH75" i="26"/>
  <c r="AR7" i="26"/>
  <c r="BH76" i="26"/>
  <c r="BH72" i="26"/>
  <c r="BH64" i="26"/>
  <c r="BH65" i="26"/>
  <c r="BH66" i="26"/>
  <c r="AR17" i="26"/>
  <c r="BW17" i="26"/>
  <c r="BH74" i="26"/>
  <c r="DA15" i="44"/>
  <c r="BT17" i="26"/>
  <c r="W8" i="44" s="1"/>
  <c r="BQ17" i="26"/>
  <c r="BT7" i="26"/>
  <c r="BQ7" i="26"/>
  <c r="BU12" i="26"/>
  <c r="BU47" i="26" s="1"/>
  <c r="BQ12" i="26"/>
  <c r="AQ12" i="26"/>
  <c r="BG69" i="26"/>
  <c r="AP10" i="26"/>
  <c r="BU9" i="26"/>
  <c r="AL9" i="26"/>
  <c r="BF66" i="26"/>
  <c r="BF74" i="26"/>
  <c r="AL17" i="26"/>
  <c r="AP17" i="26"/>
  <c r="AP18" i="26"/>
  <c r="BG72" i="26"/>
  <c r="AQ16" i="26"/>
  <c r="AQ15" i="26"/>
  <c r="AA32" i="26"/>
  <c r="AO15" i="26"/>
  <c r="Y32" i="26"/>
  <c r="BE72" i="26"/>
  <c r="AL15" i="26"/>
  <c r="BE68" i="26"/>
  <c r="AO11" i="26"/>
  <c r="AL11" i="26"/>
  <c r="BT11" i="26"/>
  <c r="BP51" i="44"/>
  <c r="G45" i="33"/>
  <c r="H42" i="39"/>
  <c r="H4" i="39" s="1"/>
  <c r="M42" i="27"/>
  <c r="M4" i="27" s="1"/>
  <c r="R45" i="40"/>
  <c r="O34" i="34"/>
  <c r="X13" i="44"/>
  <c r="BU53" i="26"/>
  <c r="O42" i="28"/>
  <c r="O4" i="28" s="1"/>
  <c r="N34" i="28"/>
  <c r="N18" i="44"/>
  <c r="BV43" i="26"/>
  <c r="L42" i="29"/>
  <c r="L4" i="29" s="1"/>
  <c r="L34" i="29"/>
  <c r="K45" i="34"/>
  <c r="F45" i="34"/>
  <c r="E45" i="34"/>
  <c r="M42" i="34"/>
  <c r="M4" i="34" s="1"/>
  <c r="N42" i="34"/>
  <c r="N4" i="34" s="1"/>
  <c r="M34" i="34"/>
  <c r="R45" i="34"/>
  <c r="R34" i="34"/>
  <c r="S34" i="34" s="1"/>
  <c r="T34" i="34" s="1"/>
  <c r="U34" i="34" s="1"/>
  <c r="V34" i="34" s="1"/>
  <c r="W34" i="34" s="1"/>
  <c r="X34" i="34" s="1"/>
  <c r="N42" i="33"/>
  <c r="N4" i="33" s="1"/>
  <c r="N34" i="33"/>
  <c r="L34" i="33"/>
  <c r="L42" i="33"/>
  <c r="L4" i="33" s="1"/>
  <c r="H5" i="32"/>
  <c r="I42" i="32"/>
  <c r="I4" i="32" s="1"/>
  <c r="H34" i="32"/>
  <c r="K34" i="32"/>
  <c r="L42" i="32"/>
  <c r="L4" i="32" s="1"/>
  <c r="R34" i="32"/>
  <c r="S34" i="32" s="1"/>
  <c r="T34" i="32" s="1"/>
  <c r="U34" i="32" s="1"/>
  <c r="V34" i="32" s="1"/>
  <c r="W34" i="32" s="1"/>
  <c r="X34" i="32" s="1"/>
  <c r="R42" i="32"/>
  <c r="R4" i="32" s="1"/>
  <c r="G45" i="36"/>
  <c r="G34" i="36"/>
  <c r="L34" i="36"/>
  <c r="L45" i="36"/>
  <c r="J42" i="36"/>
  <c r="J4" i="36" s="1"/>
  <c r="I34" i="36"/>
  <c r="H45" i="39"/>
  <c r="G45" i="39"/>
  <c r="J45" i="39"/>
  <c r="I45" i="39"/>
  <c r="F42" i="39"/>
  <c r="F4" i="39" s="1"/>
  <c r="E34" i="39"/>
  <c r="E45" i="30"/>
  <c r="D34" i="30"/>
  <c r="F34" i="29"/>
  <c r="F33" i="29" s="1"/>
  <c r="F42" i="29"/>
  <c r="F4" i="29" s="1"/>
  <c r="G45" i="29"/>
  <c r="I45" i="28"/>
  <c r="I34" i="28"/>
  <c r="E34" i="36"/>
  <c r="F42" i="36"/>
  <c r="F4" i="36" s="1"/>
  <c r="E42" i="36"/>
  <c r="E4" i="36" s="1"/>
  <c r="D45" i="36"/>
  <c r="O42" i="41"/>
  <c r="O4" i="41" s="1"/>
  <c r="M34" i="41"/>
  <c r="CC15" i="26"/>
  <c r="BZ19" i="26"/>
  <c r="BZ9" i="26"/>
  <c r="O38" i="44" s="1"/>
  <c r="AU4" i="26"/>
  <c r="AU31" i="26" s="1"/>
  <c r="BJ4" i="26"/>
  <c r="R42" i="27"/>
  <c r="R4" i="27" s="1"/>
  <c r="Q45" i="28"/>
  <c r="J34" i="27"/>
  <c r="I45" i="30"/>
  <c r="I34" i="30"/>
  <c r="P45" i="30"/>
  <c r="Q42" i="30"/>
  <c r="Q4" i="30" s="1"/>
  <c r="Q34" i="30"/>
  <c r="R42" i="30"/>
  <c r="R4" i="30" s="1"/>
  <c r="P45" i="32"/>
  <c r="P34" i="32"/>
  <c r="CE16" i="26"/>
  <c r="CC17" i="26"/>
  <c r="AV13" i="26"/>
  <c r="BJ75" i="26"/>
  <c r="E45" i="28"/>
  <c r="H45" i="30"/>
  <c r="N45" i="34"/>
  <c r="L45" i="35"/>
  <c r="E34" i="35"/>
  <c r="N34" i="32"/>
  <c r="O34" i="39"/>
  <c r="R42" i="39"/>
  <c r="R4" i="39" s="1"/>
  <c r="G42" i="41"/>
  <c r="G4" i="41" s="1"/>
  <c r="R45" i="41"/>
  <c r="K42" i="38"/>
  <c r="K4" i="38" s="1"/>
  <c r="BW6" i="26"/>
  <c r="R45" i="28"/>
  <c r="J34" i="29"/>
  <c r="I34" i="29"/>
  <c r="N42" i="29"/>
  <c r="N4" i="29" s="1"/>
  <c r="J45" i="35"/>
  <c r="F42" i="38"/>
  <c r="F4" i="38" s="1"/>
  <c r="CC9" i="26"/>
  <c r="AT10" i="26"/>
  <c r="BY16" i="26"/>
  <c r="AT18" i="26"/>
  <c r="CX40" i="44"/>
  <c r="BY41" i="44"/>
  <c r="CX41" i="44" s="1"/>
  <c r="BY42" i="44"/>
  <c r="CX42" i="44" s="1"/>
  <c r="K8" i="44"/>
  <c r="BT40" i="26"/>
  <c r="BX51" i="44"/>
  <c r="BX52" i="44"/>
  <c r="CW52" i="44" s="1"/>
  <c r="CF47" i="26"/>
  <c r="R68" i="44"/>
  <c r="Z68" i="44"/>
  <c r="CF55" i="26"/>
  <c r="C28" i="38"/>
  <c r="C32" i="38"/>
  <c r="P34" i="30"/>
  <c r="F42" i="35"/>
  <c r="F4" i="35" s="1"/>
  <c r="P45" i="39"/>
  <c r="AK30" i="26"/>
  <c r="CE30" i="44"/>
  <c r="N45" i="27"/>
  <c r="N34" i="27"/>
  <c r="L34" i="35"/>
  <c r="BH21" i="26"/>
  <c r="D5" i="32"/>
  <c r="M42" i="29"/>
  <c r="M4" i="29" s="1"/>
  <c r="M34" i="30"/>
  <c r="J42" i="38"/>
  <c r="J4" i="38" s="1"/>
  <c r="AE31" i="26"/>
  <c r="M42" i="35"/>
  <c r="M4" i="35" s="1"/>
  <c r="AT17" i="26"/>
  <c r="C34" i="39"/>
  <c r="D5" i="28"/>
  <c r="D34" i="28"/>
  <c r="E5" i="32"/>
  <c r="E42" i="32"/>
  <c r="E4" i="32" s="1"/>
  <c r="BA19" i="26"/>
  <c r="BK4" i="26"/>
  <c r="F45" i="28"/>
  <c r="G34" i="34"/>
  <c r="BW7" i="26"/>
  <c r="AE30" i="26"/>
  <c r="AS16" i="26"/>
  <c r="I45" i="29"/>
  <c r="Q45" i="32"/>
  <c r="BE70" i="26"/>
  <c r="Q45" i="39"/>
  <c r="H45" i="36"/>
  <c r="BE71" i="26"/>
  <c r="I34" i="32"/>
  <c r="J42" i="32"/>
  <c r="J4" i="32" s="1"/>
  <c r="AD30" i="26"/>
  <c r="C51" i="8"/>
  <c r="C7" i="8"/>
  <c r="E33" i="8"/>
  <c r="C33" i="8"/>
  <c r="D104" i="8"/>
  <c r="I15" i="8"/>
  <c r="G24" i="8"/>
  <c r="H24" i="8"/>
  <c r="R16" i="24"/>
  <c r="F42" i="8"/>
  <c r="E15" i="8"/>
  <c r="G15" i="8"/>
  <c r="D24" i="8"/>
  <c r="E24" i="8"/>
  <c r="D33" i="8"/>
  <c r="D86" i="8"/>
  <c r="R23" i="24"/>
  <c r="I33" i="8"/>
  <c r="D95" i="8"/>
  <c r="H42" i="8"/>
  <c r="D60" i="8"/>
  <c r="D77" i="8"/>
  <c r="F15" i="8"/>
  <c r="C113" i="8"/>
  <c r="G42" i="8"/>
  <c r="E42" i="8"/>
  <c r="D42" i="8"/>
  <c r="D15" i="8"/>
  <c r="D69" i="8"/>
  <c r="BV12" i="44" l="1"/>
  <c r="BV11" i="44"/>
  <c r="CU11" i="44" s="1"/>
  <c r="BU42" i="26"/>
  <c r="BF91" i="26" s="1"/>
  <c r="BU46" i="26"/>
  <c r="BF88" i="26" s="1"/>
  <c r="Y13" i="44"/>
  <c r="CD10" i="44" s="1"/>
  <c r="DC10" i="44" s="1"/>
  <c r="BQ7" i="44"/>
  <c r="CP7" i="44" s="1"/>
  <c r="BT41" i="26"/>
  <c r="BU50" i="26"/>
  <c r="BQ6" i="44"/>
  <c r="CP6" i="44" s="1"/>
  <c r="CM4" i="26"/>
  <c r="S8" i="44"/>
  <c r="BX5" i="44" s="1"/>
  <c r="BX7" i="44" s="1"/>
  <c r="CW7" i="44" s="1"/>
  <c r="AQ22" i="26"/>
  <c r="T13" i="44"/>
  <c r="BY10" i="44" s="1"/>
  <c r="CX10" i="44" s="1"/>
  <c r="BV52" i="26"/>
  <c r="BU57" i="44"/>
  <c r="CT57" i="44" s="1"/>
  <c r="BY50" i="26"/>
  <c r="AQ23" i="26"/>
  <c r="CD49" i="26"/>
  <c r="BO91" i="26" s="1"/>
  <c r="AQ25" i="26"/>
  <c r="AA25" i="26" s="1"/>
  <c r="AQ24" i="26"/>
  <c r="BX46" i="26"/>
  <c r="AQ27" i="26"/>
  <c r="Y4" i="29" s="1"/>
  <c r="BF95" i="26"/>
  <c r="AQ28" i="26"/>
  <c r="Z4" i="29" s="1"/>
  <c r="AQ21" i="26"/>
  <c r="AA21" i="26" s="1"/>
  <c r="BG78" i="26" s="1"/>
  <c r="BQ86" i="26"/>
  <c r="BQ89" i="26"/>
  <c r="BR36" i="44"/>
  <c r="CQ36" i="44" s="1"/>
  <c r="L13" i="44"/>
  <c r="BQ10" i="44" s="1"/>
  <c r="CP10" i="44" s="1"/>
  <c r="BT4" i="26"/>
  <c r="BT39" i="26" s="1"/>
  <c r="BQ97" i="26"/>
  <c r="BQ96" i="26"/>
  <c r="BU56" i="44"/>
  <c r="CT56" i="44" s="1"/>
  <c r="Q23" i="44"/>
  <c r="BV21" i="44" s="1"/>
  <c r="BY43" i="26"/>
  <c r="BQ90" i="26"/>
  <c r="J5" i="28"/>
  <c r="K5" i="28" s="1"/>
  <c r="K8" i="28" s="1"/>
  <c r="K11" i="28" s="1"/>
  <c r="K20" i="28" s="1"/>
  <c r="K33" i="28" s="1"/>
  <c r="BX61" i="44"/>
  <c r="CW61" i="44" s="1"/>
  <c r="X18" i="44"/>
  <c r="CC16" i="44" s="1"/>
  <c r="DB16" i="44" s="1"/>
  <c r="BX62" i="44"/>
  <c r="CW62" i="44" s="1"/>
  <c r="BL91" i="26"/>
  <c r="CA53" i="26"/>
  <c r="BL95" i="26" s="1"/>
  <c r="BY41" i="26"/>
  <c r="CE44" i="26"/>
  <c r="O23" i="44"/>
  <c r="BT21" i="44" s="1"/>
  <c r="CS21" i="44" s="1"/>
  <c r="BI63" i="26"/>
  <c r="BR37" i="44"/>
  <c r="CQ37" i="44" s="1"/>
  <c r="CE48" i="26"/>
  <c r="BW54" i="26"/>
  <c r="V18" i="44"/>
  <c r="CA16" i="44" s="1"/>
  <c r="CZ16" i="44" s="1"/>
  <c r="Q33" i="44"/>
  <c r="BV31" i="44" s="1"/>
  <c r="D5" i="33"/>
  <c r="E5" i="33" s="1"/>
  <c r="E8" i="33" s="1"/>
  <c r="E11" i="33" s="1"/>
  <c r="E20" i="33" s="1"/>
  <c r="E33" i="33" s="1"/>
  <c r="CR50" i="44"/>
  <c r="CD57" i="44"/>
  <c r="DC57" i="44" s="1"/>
  <c r="CB16" i="44"/>
  <c r="DA16" i="44" s="1"/>
  <c r="Q53" i="44"/>
  <c r="BV50" i="44" s="1"/>
  <c r="BV51" i="44" s="1"/>
  <c r="CU51" i="44" s="1"/>
  <c r="BQ92" i="26"/>
  <c r="BQ85" i="26"/>
  <c r="M68" i="44"/>
  <c r="BQ95" i="26"/>
  <c r="R8" i="44"/>
  <c r="BW5" i="44" s="1"/>
  <c r="BW7" i="44" s="1"/>
  <c r="CV7" i="44" s="1"/>
  <c r="CB53" i="26"/>
  <c r="CE37" i="44"/>
  <c r="DD37" i="44" s="1"/>
  <c r="BZ42" i="26"/>
  <c r="BQ88" i="26"/>
  <c r="BF84" i="26"/>
  <c r="BV27" i="44"/>
  <c r="CU27" i="44" s="1"/>
  <c r="BN91" i="26"/>
  <c r="CC61" i="44"/>
  <c r="DB61" i="44" s="1"/>
  <c r="O58" i="44"/>
  <c r="BT55" i="44" s="1"/>
  <c r="BT57" i="44" s="1"/>
  <c r="CS57" i="44" s="1"/>
  <c r="L63" i="44"/>
  <c r="BQ60" i="44" s="1"/>
  <c r="BQ62" i="44" s="1"/>
  <c r="CP62" i="44" s="1"/>
  <c r="DD45" i="44"/>
  <c r="CC66" i="44"/>
  <c r="DB66" i="44" s="1"/>
  <c r="CD53" i="26"/>
  <c r="BO95" i="26" s="1"/>
  <c r="C8" i="33"/>
  <c r="C11" i="33" s="1"/>
  <c r="P43" i="44"/>
  <c r="BX51" i="26"/>
  <c r="CA27" i="44"/>
  <c r="CZ27" i="44" s="1"/>
  <c r="E5" i="40"/>
  <c r="F5" i="40" s="1"/>
  <c r="G5" i="40" s="1"/>
  <c r="BV26" i="44"/>
  <c r="CU26" i="44" s="1"/>
  <c r="CC62" i="44"/>
  <c r="DB62" i="44" s="1"/>
  <c r="CF45" i="26"/>
  <c r="BQ87" i="26" s="1"/>
  <c r="CE47" i="44"/>
  <c r="CE48" i="44" s="1"/>
  <c r="CQ20" i="26"/>
  <c r="M43" i="44"/>
  <c r="BR40" i="44" s="1"/>
  <c r="CQ40" i="44" s="1"/>
  <c r="CD56" i="44"/>
  <c r="DC56" i="44" s="1"/>
  <c r="Y53" i="44"/>
  <c r="CD50" i="44" s="1"/>
  <c r="CD52" i="44" s="1"/>
  <c r="DC52" i="44" s="1"/>
  <c r="BP41" i="44"/>
  <c r="CO41" i="44" s="1"/>
  <c r="CC67" i="44"/>
  <c r="U18" i="44"/>
  <c r="BZ16" i="44" s="1"/>
  <c r="CB55" i="26"/>
  <c r="CE53" i="26"/>
  <c r="CA55" i="26"/>
  <c r="BL97" i="26" s="1"/>
  <c r="D5" i="27"/>
  <c r="D8" i="27" s="1"/>
  <c r="D11" i="27" s="1"/>
  <c r="D20" i="27" s="1"/>
  <c r="D33" i="27" s="1"/>
  <c r="Q68" i="44"/>
  <c r="BV65" i="44" s="1"/>
  <c r="T53" i="44"/>
  <c r="BY50" i="44" s="1"/>
  <c r="CX50" i="44" s="1"/>
  <c r="BZ53" i="26"/>
  <c r="CO46" i="44"/>
  <c r="L28" i="44"/>
  <c r="BQ26" i="44" s="1"/>
  <c r="CP26" i="44" s="1"/>
  <c r="N63" i="44"/>
  <c r="BS60" i="44" s="1"/>
  <c r="CR60" i="44" s="1"/>
  <c r="P63" i="44"/>
  <c r="BU60" i="44" s="1"/>
  <c r="BU62" i="44" s="1"/>
  <c r="CT62" i="44" s="1"/>
  <c r="M53" i="44"/>
  <c r="BR50" i="44" s="1"/>
  <c r="BR52" i="44" s="1"/>
  <c r="CQ52" i="44" s="1"/>
  <c r="CS20" i="26"/>
  <c r="BU10" i="44"/>
  <c r="CT10" i="44" s="1"/>
  <c r="Q38" i="44"/>
  <c r="BV35" i="44" s="1"/>
  <c r="CB44" i="26"/>
  <c r="T23" i="44"/>
  <c r="BY21" i="44" s="1"/>
  <c r="CX21" i="44" s="1"/>
  <c r="R43" i="44"/>
  <c r="BW40" i="44" s="1"/>
  <c r="BW42" i="44" s="1"/>
  <c r="CV42" i="44" s="1"/>
  <c r="BU66" i="44"/>
  <c r="CT66" i="44" s="1"/>
  <c r="CE36" i="44"/>
  <c r="DD36" i="44" s="1"/>
  <c r="BP48" i="44"/>
  <c r="BA32" i="26"/>
  <c r="M58" i="44"/>
  <c r="BR55" i="44" s="1"/>
  <c r="R58" i="44"/>
  <c r="C33" i="35"/>
  <c r="C37" i="35" s="1"/>
  <c r="C8" i="27"/>
  <c r="C11" i="27" s="1"/>
  <c r="C28" i="27" s="1"/>
  <c r="BN63" i="26"/>
  <c r="G22" i="42"/>
  <c r="CY40" i="44"/>
  <c r="C6" i="27"/>
  <c r="R28" i="44"/>
  <c r="BW26" i="44" s="1"/>
  <c r="BZ11" i="44"/>
  <c r="CY11" i="44" s="1"/>
  <c r="H33" i="30"/>
  <c r="H35" i="30" s="1"/>
  <c r="AS23" i="26"/>
  <c r="L43" i="44"/>
  <c r="BQ40" i="44" s="1"/>
  <c r="BQ41" i="44" s="1"/>
  <c r="CP41" i="44" s="1"/>
  <c r="R48" i="44"/>
  <c r="BW45" i="44" s="1"/>
  <c r="BW46" i="44" s="1"/>
  <c r="CV46" i="44" s="1"/>
  <c r="BO86" i="26"/>
  <c r="BO96" i="26"/>
  <c r="BO89" i="26"/>
  <c r="BO87" i="26"/>
  <c r="BL90" i="26"/>
  <c r="BU4" i="26"/>
  <c r="BU39" i="26" s="1"/>
  <c r="BZ41" i="44"/>
  <c r="CY41" i="44" s="1"/>
  <c r="CR65" i="44"/>
  <c r="BL86" i="26"/>
  <c r="BZ47" i="26"/>
  <c r="I8" i="28"/>
  <c r="I11" i="28" s="1"/>
  <c r="I20" i="28" s="1"/>
  <c r="I33" i="28" s="1"/>
  <c r="D8" i="40"/>
  <c r="D11" i="40" s="1"/>
  <c r="D20" i="40" s="1"/>
  <c r="D33" i="40" s="1"/>
  <c r="C8" i="30"/>
  <c r="C11" i="30" s="1"/>
  <c r="T63" i="44"/>
  <c r="CE49" i="26"/>
  <c r="E8" i="30"/>
  <c r="E11" i="30" s="1"/>
  <c r="E20" i="30" s="1"/>
  <c r="E33" i="30" s="1"/>
  <c r="F35" i="30" s="1"/>
  <c r="BQ63" i="26"/>
  <c r="CF4" i="26"/>
  <c r="BP20" i="44"/>
  <c r="CO20" i="44" s="1"/>
  <c r="BW5" i="26"/>
  <c r="BM63" i="26"/>
  <c r="CB4" i="26"/>
  <c r="BU67" i="44"/>
  <c r="CD21" i="44"/>
  <c r="BO22" i="26"/>
  <c r="BO23" i="26" s="1"/>
  <c r="BO24" i="26" s="1"/>
  <c r="R13" i="44"/>
  <c r="BW10" i="44" s="1"/>
  <c r="BW12" i="44" s="1"/>
  <c r="CV12" i="44" s="1"/>
  <c r="O18" i="44"/>
  <c r="BT16" i="44" s="1"/>
  <c r="BF22" i="26"/>
  <c r="BF23" i="26" s="1"/>
  <c r="CH15" i="44" s="1"/>
  <c r="DG15" i="44" s="1"/>
  <c r="Z43" i="44"/>
  <c r="CE40" i="44" s="1"/>
  <c r="CE41" i="44" s="1"/>
  <c r="DD41" i="44" s="1"/>
  <c r="AV21" i="26"/>
  <c r="AF21" i="26" s="1"/>
  <c r="DA40" i="44"/>
  <c r="CB42" i="44"/>
  <c r="DA42" i="44" s="1"/>
  <c r="CD22" i="44"/>
  <c r="DC22" i="44" s="1"/>
  <c r="E8" i="28"/>
  <c r="E11" i="28" s="1"/>
  <c r="E20" i="28" s="1"/>
  <c r="E33" i="28" s="1"/>
  <c r="F8" i="32"/>
  <c r="F11" i="32" s="1"/>
  <c r="F20" i="32" s="1"/>
  <c r="F33" i="32" s="1"/>
  <c r="CE54" i="26"/>
  <c r="Q43" i="44"/>
  <c r="CA46" i="26"/>
  <c r="BL88" i="26" s="1"/>
  <c r="V68" i="44"/>
  <c r="CF51" i="26"/>
  <c r="BQ93" i="26" s="1"/>
  <c r="BZ44" i="26"/>
  <c r="AV22" i="26"/>
  <c r="AQ32" i="26"/>
  <c r="AR32" i="26"/>
  <c r="T38" i="44"/>
  <c r="U68" i="44"/>
  <c r="BZ65" i="44" s="1"/>
  <c r="BP66" i="44"/>
  <c r="CO66" i="44" s="1"/>
  <c r="CB49" i="26"/>
  <c r="AY21" i="26"/>
  <c r="AI21" i="26" s="1"/>
  <c r="BO78" i="26" s="1"/>
  <c r="CB42" i="26"/>
  <c r="BM84" i="26" s="1"/>
  <c r="AV24" i="26"/>
  <c r="CB45" i="26"/>
  <c r="BM26" i="26"/>
  <c r="BZ43" i="26"/>
  <c r="N38" i="44"/>
  <c r="T68" i="44"/>
  <c r="BY65" i="44" s="1"/>
  <c r="CX65" i="44" s="1"/>
  <c r="CF49" i="26"/>
  <c r="BQ91" i="26" s="1"/>
  <c r="CF52" i="26"/>
  <c r="BQ94" i="26" s="1"/>
  <c r="W68" i="44"/>
  <c r="BP23" i="26"/>
  <c r="P18" i="44"/>
  <c r="BV45" i="26"/>
  <c r="H8" i="29"/>
  <c r="H11" i="29" s="1"/>
  <c r="H20" i="29" s="1"/>
  <c r="H33" i="29" s="1"/>
  <c r="I5" i="29"/>
  <c r="BS31" i="44"/>
  <c r="BS32" i="44"/>
  <c r="CR32" i="44" s="1"/>
  <c r="CG17" i="26"/>
  <c r="BR10" i="44"/>
  <c r="BP42" i="44"/>
  <c r="G20" i="42" s="1"/>
  <c r="AX32" i="26"/>
  <c r="BM23" i="26"/>
  <c r="BM24" i="26" s="1"/>
  <c r="BM27" i="26" s="1"/>
  <c r="C33" i="28"/>
  <c r="C37" i="28" s="1"/>
  <c r="BT52" i="26"/>
  <c r="CY10" i="44"/>
  <c r="BP53" i="44"/>
  <c r="AL32" i="26"/>
  <c r="CG20" i="26"/>
  <c r="CV20" i="26" s="1"/>
  <c r="AS21" i="26"/>
  <c r="AC21" i="26" s="1"/>
  <c r="BI78" i="26" s="1"/>
  <c r="D5" i="41"/>
  <c r="E5" i="41" s="1"/>
  <c r="CA50" i="26"/>
  <c r="BL92" i="26" s="1"/>
  <c r="CF41" i="26"/>
  <c r="L68" i="44"/>
  <c r="BP26" i="26"/>
  <c r="BY5" i="44"/>
  <c r="BY7" i="44" s="1"/>
  <c r="CX7" i="44" s="1"/>
  <c r="C33" i="32"/>
  <c r="C37" i="32" s="1"/>
  <c r="G8" i="29"/>
  <c r="G11" i="29" s="1"/>
  <c r="G20" i="29" s="1"/>
  <c r="G33" i="29" s="1"/>
  <c r="G35" i="29" s="1"/>
  <c r="C33" i="36"/>
  <c r="C37" i="36" s="1"/>
  <c r="BZ31" i="44"/>
  <c r="BZ32" i="44"/>
  <c r="CY32" i="44" s="1"/>
  <c r="G35" i="30"/>
  <c r="P38" i="44"/>
  <c r="BZ45" i="26"/>
  <c r="C33" i="40"/>
  <c r="S58" i="44"/>
  <c r="CD48" i="26"/>
  <c r="BO90" i="26" s="1"/>
  <c r="BN85" i="26"/>
  <c r="AZ32" i="26"/>
  <c r="CO27" i="44"/>
  <c r="G30" i="42"/>
  <c r="BN88" i="26"/>
  <c r="BT65" i="44"/>
  <c r="BT66" i="44" s="1"/>
  <c r="CS66" i="44" s="1"/>
  <c r="CC47" i="26"/>
  <c r="BN89" i="26" s="1"/>
  <c r="R53" i="44"/>
  <c r="BO63" i="26"/>
  <c r="CD4" i="26"/>
  <c r="D8" i="30"/>
  <c r="D11" i="30" s="1"/>
  <c r="D20" i="30" s="1"/>
  <c r="D33" i="30" s="1"/>
  <c r="BL94" i="26"/>
  <c r="BL85" i="26"/>
  <c r="BL89" i="26"/>
  <c r="BN96" i="26"/>
  <c r="BS67" i="44"/>
  <c r="CN20" i="26"/>
  <c r="Z33" i="44"/>
  <c r="CE32" i="44" s="1"/>
  <c r="DD32" i="44" s="1"/>
  <c r="BY55" i="26"/>
  <c r="E8" i="29"/>
  <c r="E11" i="29" s="1"/>
  <c r="E20" i="29" s="1"/>
  <c r="E33" i="29" s="1"/>
  <c r="F35" i="29" s="1"/>
  <c r="AD1" i="26"/>
  <c r="AJ30" i="44" s="1"/>
  <c r="AJ25" i="44"/>
  <c r="BZ51" i="26"/>
  <c r="V38" i="44"/>
  <c r="BL87" i="26"/>
  <c r="CB46" i="26"/>
  <c r="Q48" i="44"/>
  <c r="CD65" i="44"/>
  <c r="U63" i="44"/>
  <c r="CE50" i="26"/>
  <c r="CB50" i="26"/>
  <c r="U48" i="44"/>
  <c r="BP28" i="44"/>
  <c r="V43" i="44"/>
  <c r="CA51" i="26"/>
  <c r="BL93" i="26" s="1"/>
  <c r="CB43" i="26"/>
  <c r="N48" i="44"/>
  <c r="BU45" i="44"/>
  <c r="BU47" i="44" s="1"/>
  <c r="CT47" i="44" s="1"/>
  <c r="D8" i="29"/>
  <c r="D11" i="29" s="1"/>
  <c r="D20" i="29" s="1"/>
  <c r="D33" i="29" s="1"/>
  <c r="U28" i="44"/>
  <c r="BX50" i="26"/>
  <c r="BX40" i="44"/>
  <c r="BX41" i="44" s="1"/>
  <c r="CW41" i="44" s="1"/>
  <c r="CE4" i="26"/>
  <c r="BP63" i="26"/>
  <c r="BT40" i="44"/>
  <c r="CS40" i="44" s="1"/>
  <c r="CS25" i="44"/>
  <c r="AO32" i="26"/>
  <c r="AU32" i="26"/>
  <c r="AY32" i="26"/>
  <c r="X23" i="44"/>
  <c r="BW53" i="26"/>
  <c r="G8" i="28"/>
  <c r="G11" i="28" s="1"/>
  <c r="G20" i="28" s="1"/>
  <c r="G33" i="28" s="1"/>
  <c r="H35" i="28" s="1"/>
  <c r="CS60" i="44"/>
  <c r="BT62" i="44"/>
  <c r="CS62" i="44" s="1"/>
  <c r="BX65" i="44"/>
  <c r="BX67" i="44" s="1"/>
  <c r="BR45" i="44"/>
  <c r="BR47" i="44" s="1"/>
  <c r="CQ47" i="44" s="1"/>
  <c r="AV32" i="26"/>
  <c r="O33" i="44"/>
  <c r="BT32" i="44" s="1"/>
  <c r="CS32" i="44" s="1"/>
  <c r="BL84" i="26"/>
  <c r="BS66" i="44"/>
  <c r="CR66" i="44" s="1"/>
  <c r="BS52" i="44"/>
  <c r="BS53" i="44" s="1"/>
  <c r="BY43" i="44"/>
  <c r="I5" i="32"/>
  <c r="J5" i="32" s="1"/>
  <c r="C33" i="38"/>
  <c r="C37" i="38" s="1"/>
  <c r="BO84" i="26"/>
  <c r="AM7" i="26"/>
  <c r="BO85" i="26"/>
  <c r="V48" i="44"/>
  <c r="CB51" i="26"/>
  <c r="CE46" i="26"/>
  <c r="Q63" i="44"/>
  <c r="CC53" i="26"/>
  <c r="BN95" i="26" s="1"/>
  <c r="X53" i="44"/>
  <c r="BN90" i="26"/>
  <c r="F30" i="42"/>
  <c r="CO26" i="44"/>
  <c r="X33" i="44"/>
  <c r="BY53" i="26"/>
  <c r="BY5" i="26"/>
  <c r="BP30" i="44"/>
  <c r="CO30" i="44" s="1"/>
  <c r="BY4" i="26"/>
  <c r="BJ63" i="26"/>
  <c r="BX55" i="26"/>
  <c r="Z28" i="44"/>
  <c r="CM20" i="26"/>
  <c r="CO52" i="44"/>
  <c r="G31" i="42"/>
  <c r="AV23" i="26"/>
  <c r="AV25" i="26"/>
  <c r="AV33" i="26" s="1"/>
  <c r="O28" i="44"/>
  <c r="BX44" i="26"/>
  <c r="BW35" i="44"/>
  <c r="CV35" i="44" s="1"/>
  <c r="CE51" i="26"/>
  <c r="V63" i="44"/>
  <c r="CA60" i="44" s="1"/>
  <c r="CA62" i="44" s="1"/>
  <c r="CZ62" i="44" s="1"/>
  <c r="BZ54" i="26"/>
  <c r="Y38" i="44"/>
  <c r="CY35" i="44"/>
  <c r="BT42" i="26"/>
  <c r="M8" i="44"/>
  <c r="BW47" i="26"/>
  <c r="R23" i="44"/>
  <c r="BX45" i="26"/>
  <c r="P28" i="44"/>
  <c r="CC41" i="26"/>
  <c r="L53" i="44"/>
  <c r="G8" i="32"/>
  <c r="G11" i="32" s="1"/>
  <c r="G20" i="32" s="1"/>
  <c r="G33" i="32" s="1"/>
  <c r="BV46" i="26"/>
  <c r="Q18" i="44"/>
  <c r="V8" i="44"/>
  <c r="BT51" i="26"/>
  <c r="CG16" i="26"/>
  <c r="BT44" i="26"/>
  <c r="O8" i="44"/>
  <c r="CV15" i="44"/>
  <c r="S48" i="44"/>
  <c r="CB48" i="26"/>
  <c r="Y48" i="44"/>
  <c r="CB54" i="26"/>
  <c r="BY45" i="44"/>
  <c r="BY47" i="44" s="1"/>
  <c r="CX47" i="44" s="1"/>
  <c r="AY24" i="26"/>
  <c r="AY22" i="26"/>
  <c r="CG12" i="26"/>
  <c r="BZ4" i="26"/>
  <c r="BK63" i="26"/>
  <c r="CD60" i="44"/>
  <c r="BX54" i="26"/>
  <c r="Y28" i="44"/>
  <c r="CT25" i="44"/>
  <c r="V58" i="44"/>
  <c r="CD51" i="26"/>
  <c r="BO93" i="26" s="1"/>
  <c r="AZ23" i="26"/>
  <c r="AZ24" i="26"/>
  <c r="AZ22" i="26"/>
  <c r="AZ21" i="26"/>
  <c r="AJ21" i="26" s="1"/>
  <c r="AZ25" i="26"/>
  <c r="AZ33" i="26" s="1"/>
  <c r="S38" i="44"/>
  <c r="BZ48" i="26"/>
  <c r="CU15" i="44"/>
  <c r="P33" i="44"/>
  <c r="BY45" i="26"/>
  <c r="W33" i="44"/>
  <c r="BY52" i="26"/>
  <c r="Z13" i="44"/>
  <c r="CJ20" i="26"/>
  <c r="BU55" i="26"/>
  <c r="BU51" i="26"/>
  <c r="V13" i="44"/>
  <c r="BE26" i="26"/>
  <c r="BE23" i="26"/>
  <c r="Y8" i="44"/>
  <c r="BT54" i="26"/>
  <c r="CG19" i="26"/>
  <c r="BP15" i="44"/>
  <c r="BV5" i="26"/>
  <c r="M33" i="44"/>
  <c r="BY42" i="26"/>
  <c r="CX30" i="44"/>
  <c r="CA54" i="26"/>
  <c r="BL96" i="26" s="1"/>
  <c r="Y43" i="44"/>
  <c r="CC55" i="26"/>
  <c r="BN97" i="26" s="1"/>
  <c r="CR20" i="26"/>
  <c r="Z53" i="44"/>
  <c r="C8" i="41"/>
  <c r="C11" i="41" s="1"/>
  <c r="L38" i="44"/>
  <c r="BQ35" i="44" s="1"/>
  <c r="BQ36" i="44" s="1"/>
  <c r="CP36" i="44" s="1"/>
  <c r="AS22" i="26"/>
  <c r="BP12" i="44"/>
  <c r="CO12" i="44" s="1"/>
  <c r="CD55" i="26"/>
  <c r="BO97" i="26" s="1"/>
  <c r="BS43" i="44"/>
  <c r="AT22" i="26"/>
  <c r="AT21" i="26"/>
  <c r="AD21" i="26" s="1"/>
  <c r="BY21" i="26" s="1"/>
  <c r="AT25" i="26"/>
  <c r="AT33" i="26" s="1"/>
  <c r="AT24" i="26"/>
  <c r="AT23" i="26"/>
  <c r="AY23" i="26"/>
  <c r="BZ36" i="44"/>
  <c r="CY36" i="44" s="1"/>
  <c r="CU12" i="44"/>
  <c r="W23" i="44"/>
  <c r="BW52" i="26"/>
  <c r="BX49" i="26"/>
  <c r="T28" i="44"/>
  <c r="U23" i="44"/>
  <c r="BW50" i="26"/>
  <c r="BN22" i="26"/>
  <c r="BT50" i="26"/>
  <c r="U8" i="44"/>
  <c r="CG15" i="26"/>
  <c r="BT43" i="26"/>
  <c r="N8" i="44"/>
  <c r="BS5" i="44" s="1"/>
  <c r="CR5" i="44" s="1"/>
  <c r="CG8" i="26"/>
  <c r="S23" i="44"/>
  <c r="BW48" i="26"/>
  <c r="BX43" i="26"/>
  <c r="N28" i="44"/>
  <c r="CT30" i="44"/>
  <c r="DA30" i="44"/>
  <c r="AU22" i="26"/>
  <c r="AU23" i="26"/>
  <c r="AU21" i="26"/>
  <c r="AE21" i="26" s="1"/>
  <c r="AU25" i="26"/>
  <c r="AU24" i="26"/>
  <c r="CC45" i="26"/>
  <c r="BN87" i="26" s="1"/>
  <c r="P53" i="44"/>
  <c r="F8" i="28"/>
  <c r="F11" i="28" s="1"/>
  <c r="F20" i="28" s="1"/>
  <c r="F33" i="28" s="1"/>
  <c r="CF30" i="44"/>
  <c r="DE30" i="44" s="1"/>
  <c r="BV48" i="26"/>
  <c r="S18" i="44"/>
  <c r="BT53" i="26"/>
  <c r="X8" i="44"/>
  <c r="CC5" i="44" s="1"/>
  <c r="DB5" i="44" s="1"/>
  <c r="BU52" i="26"/>
  <c r="W13" i="44"/>
  <c r="CP15" i="44"/>
  <c r="BW51" i="26"/>
  <c r="V23" i="44"/>
  <c r="BW45" i="26"/>
  <c r="P23" i="44"/>
  <c r="N23" i="44"/>
  <c r="BW43" i="26"/>
  <c r="BI26" i="26"/>
  <c r="CK30" i="44" s="1"/>
  <c r="DJ30" i="44" s="1"/>
  <c r="T33" i="44"/>
  <c r="BY49" i="26"/>
  <c r="AW25" i="26"/>
  <c r="AW33" i="26" s="1"/>
  <c r="AW23" i="26"/>
  <c r="AW24" i="26"/>
  <c r="AW22" i="26"/>
  <c r="AW21" i="26"/>
  <c r="AG21" i="26" s="1"/>
  <c r="AW32" i="26"/>
  <c r="BL22" i="26"/>
  <c r="BL23" i="26" s="1"/>
  <c r="CC45" i="44"/>
  <c r="CC47" i="44" s="1"/>
  <c r="DB47" i="44" s="1"/>
  <c r="U58" i="44"/>
  <c r="CD50" i="26"/>
  <c r="BO92" i="26" s="1"/>
  <c r="BQ31" i="44"/>
  <c r="BQ32" i="44"/>
  <c r="CP32" i="44" s="1"/>
  <c r="BW41" i="26"/>
  <c r="L23" i="44"/>
  <c r="E5" i="36"/>
  <c r="D8" i="36"/>
  <c r="D11" i="36" s="1"/>
  <c r="D20" i="36" s="1"/>
  <c r="D33" i="36" s="1"/>
  <c r="CC10" i="44"/>
  <c r="CC12" i="44" s="1"/>
  <c r="DB12" i="44" s="1"/>
  <c r="M18" i="44"/>
  <c r="BV42" i="26"/>
  <c r="BG86" i="26" s="1"/>
  <c r="BZ52" i="26"/>
  <c r="W38" i="44"/>
  <c r="E5" i="34"/>
  <c r="D8" i="34"/>
  <c r="D11" i="34" s="1"/>
  <c r="D20" i="34" s="1"/>
  <c r="D33" i="34" s="1"/>
  <c r="Y18" i="44"/>
  <c r="BV54" i="26"/>
  <c r="L18" i="44"/>
  <c r="BV41" i="26"/>
  <c r="CK20" i="26"/>
  <c r="Z18" i="44"/>
  <c r="BV55" i="26"/>
  <c r="BX52" i="26"/>
  <c r="W28" i="44"/>
  <c r="BX42" i="26"/>
  <c r="BI89" i="26" s="1"/>
  <c r="M28" i="44"/>
  <c r="BX53" i="26"/>
  <c r="X28" i="44"/>
  <c r="Y33" i="44"/>
  <c r="BY54" i="26"/>
  <c r="BY48" i="26"/>
  <c r="S33" i="44"/>
  <c r="BK22" i="26"/>
  <c r="BK23" i="26" s="1"/>
  <c r="AX23" i="26"/>
  <c r="AX24" i="26"/>
  <c r="AX21" i="26"/>
  <c r="AH21" i="26" s="1"/>
  <c r="AX22" i="26"/>
  <c r="AX25" i="26"/>
  <c r="CD46" i="26"/>
  <c r="BO88" i="26" s="1"/>
  <c r="Q58" i="44"/>
  <c r="BV55" i="44" s="1"/>
  <c r="CU55" i="44" s="1"/>
  <c r="BI24" i="26"/>
  <c r="CI30" i="44" s="1"/>
  <c r="O53" i="44"/>
  <c r="CC44" i="26"/>
  <c r="BN86" i="26" s="1"/>
  <c r="U53" i="44"/>
  <c r="CC50" i="26"/>
  <c r="BN92" i="26" s="1"/>
  <c r="BS17" i="44"/>
  <c r="CR17" i="44" s="1"/>
  <c r="BS16" i="44"/>
  <c r="CO51" i="44"/>
  <c r="F31" i="42"/>
  <c r="O13" i="44"/>
  <c r="BU44" i="26"/>
  <c r="BF86" i="26" s="1"/>
  <c r="BG22" i="26"/>
  <c r="CF20" i="44"/>
  <c r="BG26" i="26"/>
  <c r="CK20" i="44" s="1"/>
  <c r="DJ20" i="44" s="1"/>
  <c r="CE55" i="26"/>
  <c r="CT20" i="26"/>
  <c r="Z63" i="44"/>
  <c r="CB60" i="44"/>
  <c r="CB61" i="44" s="1"/>
  <c r="DA61" i="44" s="1"/>
  <c r="BG63" i="26"/>
  <c r="BV4" i="26"/>
  <c r="BD22" i="26"/>
  <c r="BZ40" i="26"/>
  <c r="K38" i="44"/>
  <c r="C32" i="34"/>
  <c r="C27" i="34"/>
  <c r="C29" i="34"/>
  <c r="C31" i="34"/>
  <c r="C26" i="34"/>
  <c r="C20" i="34"/>
  <c r="C33" i="34" s="1"/>
  <c r="C37" i="34" s="1"/>
  <c r="C28" i="34"/>
  <c r="Z23" i="44"/>
  <c r="BW55" i="26"/>
  <c r="CL20" i="26"/>
  <c r="R33" i="44"/>
  <c r="BY47" i="26"/>
  <c r="CG30" i="44"/>
  <c r="DF30" i="44" s="1"/>
  <c r="V53" i="44"/>
  <c r="CC51" i="26"/>
  <c r="BN93" i="26" s="1"/>
  <c r="CC55" i="44"/>
  <c r="CC56" i="44" s="1"/>
  <c r="DB56" i="44" s="1"/>
  <c r="CG11" i="26"/>
  <c r="CG9" i="26"/>
  <c r="AS25" i="26"/>
  <c r="W4" i="32" s="1"/>
  <c r="CG18" i="26"/>
  <c r="V33" i="44"/>
  <c r="BY51" i="26"/>
  <c r="CC52" i="26"/>
  <c r="BN94" i="26" s="1"/>
  <c r="W53" i="44"/>
  <c r="CB50" i="44" s="1"/>
  <c r="CB51" i="44" s="1"/>
  <c r="DA51" i="44" s="1"/>
  <c r="H8" i="32"/>
  <c r="H11" i="32" s="1"/>
  <c r="H20" i="32" s="1"/>
  <c r="H33" i="32" s="1"/>
  <c r="AY25" i="26"/>
  <c r="BZ37" i="44"/>
  <c r="CY37" i="44" s="1"/>
  <c r="BT46" i="26"/>
  <c r="Q8" i="44"/>
  <c r="AR24" i="26"/>
  <c r="AR22" i="26"/>
  <c r="AR25" i="26"/>
  <c r="AR33" i="26" s="1"/>
  <c r="AR23" i="26"/>
  <c r="AR21" i="26"/>
  <c r="AB21" i="26" s="1"/>
  <c r="CJ20" i="44"/>
  <c r="DI20" i="44" s="1"/>
  <c r="BY55" i="44"/>
  <c r="R63" i="44"/>
  <c r="CE47" i="26"/>
  <c r="M63" i="44"/>
  <c r="CE42" i="26"/>
  <c r="D8" i="39"/>
  <c r="D11" i="39" s="1"/>
  <c r="D20" i="39" s="1"/>
  <c r="D33" i="39" s="1"/>
  <c r="E5" i="39"/>
  <c r="CG6" i="26"/>
  <c r="CH6" i="26" s="1"/>
  <c r="J5" i="30"/>
  <c r="I8" i="30"/>
  <c r="I11" i="30" s="1"/>
  <c r="I20" i="30" s="1"/>
  <c r="I33" i="30" s="1"/>
  <c r="CC40" i="44"/>
  <c r="CC41" i="44" s="1"/>
  <c r="DB41" i="44" s="1"/>
  <c r="AS32" i="26"/>
  <c r="C33" i="29"/>
  <c r="C37" i="29" s="1"/>
  <c r="T18" i="44"/>
  <c r="BV49" i="26"/>
  <c r="CG14" i="26"/>
  <c r="BP67" i="44"/>
  <c r="AO21" i="26"/>
  <c r="Y21" i="26" s="1"/>
  <c r="AO23" i="26"/>
  <c r="AO22" i="26"/>
  <c r="AO25" i="26"/>
  <c r="AO24" i="26"/>
  <c r="Z8" i="44"/>
  <c r="CI20" i="26"/>
  <c r="BT55" i="26"/>
  <c r="AP25" i="26"/>
  <c r="AP33" i="26" s="1"/>
  <c r="AP22" i="26"/>
  <c r="AP21" i="26"/>
  <c r="Z21" i="26" s="1"/>
  <c r="BU21" i="26" s="1"/>
  <c r="AP23" i="26"/>
  <c r="AP24" i="26"/>
  <c r="AP32" i="26"/>
  <c r="P8" i="44"/>
  <c r="BT45" i="26"/>
  <c r="CG10" i="26"/>
  <c r="BS10" i="44"/>
  <c r="BS12" i="44" s="1"/>
  <c r="CR12" i="44" s="1"/>
  <c r="S13" i="44"/>
  <c r="BU48" i="26"/>
  <c r="BF90" i="26" s="1"/>
  <c r="CG13" i="26"/>
  <c r="BF26" i="26"/>
  <c r="CK15" i="44" s="1"/>
  <c r="DJ15" i="44" s="1"/>
  <c r="DC15" i="44"/>
  <c r="R18" i="44"/>
  <c r="BV47" i="26"/>
  <c r="CL4" i="26"/>
  <c r="BW39" i="26"/>
  <c r="AS24" i="26"/>
  <c r="S28" i="44"/>
  <c r="BX48" i="26"/>
  <c r="CR20" i="44"/>
  <c r="DB25" i="44"/>
  <c r="AT32" i="26"/>
  <c r="CZ30" i="44"/>
  <c r="CB41" i="26"/>
  <c r="L48" i="44"/>
  <c r="CB52" i="26"/>
  <c r="W48" i="44"/>
  <c r="CD41" i="26"/>
  <c r="L58" i="44"/>
  <c r="CD52" i="26"/>
  <c r="BO94" i="26" s="1"/>
  <c r="W58" i="44"/>
  <c r="BS55" i="44"/>
  <c r="BS56" i="44" s="1"/>
  <c r="CR56" i="44" s="1"/>
  <c r="E5" i="38"/>
  <c r="D8" i="38"/>
  <c r="D11" i="38" s="1"/>
  <c r="D20" i="38" s="1"/>
  <c r="D33" i="38" s="1"/>
  <c r="BP60" i="44"/>
  <c r="BP61" i="44" s="1"/>
  <c r="F21" i="42"/>
  <c r="CO11" i="44"/>
  <c r="BJ25" i="26"/>
  <c r="BJ26" i="26" s="1"/>
  <c r="CO56" i="44"/>
  <c r="F19" i="42"/>
  <c r="D37" i="39"/>
  <c r="C33" i="39"/>
  <c r="CF25" i="44"/>
  <c r="BH22" i="26"/>
  <c r="BH23" i="26" s="1"/>
  <c r="BH26" i="26"/>
  <c r="BQ21" i="26"/>
  <c r="CC35" i="44"/>
  <c r="CC36" i="44" s="1"/>
  <c r="DB36" i="44" s="1"/>
  <c r="CR4" i="26"/>
  <c r="CC39" i="26"/>
  <c r="CA4" i="26"/>
  <c r="BL63" i="26"/>
  <c r="D8" i="35"/>
  <c r="D11" i="35" s="1"/>
  <c r="D20" i="35" s="1"/>
  <c r="D33" i="35" s="1"/>
  <c r="E5" i="35"/>
  <c r="CW51" i="44"/>
  <c r="BX53" i="44"/>
  <c r="BW42" i="26"/>
  <c r="M23" i="44"/>
  <c r="CG7" i="26"/>
  <c r="BA25" i="26"/>
  <c r="BA23" i="26"/>
  <c r="BA21" i="26"/>
  <c r="AK21" i="26" s="1"/>
  <c r="BA24" i="26"/>
  <c r="BA22" i="26"/>
  <c r="D8" i="28"/>
  <c r="D11" i="28" s="1"/>
  <c r="D20" i="28" s="1"/>
  <c r="D33" i="28" s="1"/>
  <c r="AK37" i="26"/>
  <c r="Y37" i="26"/>
  <c r="AG37" i="26"/>
  <c r="AA37" i="26"/>
  <c r="AH37" i="26"/>
  <c r="Z37" i="26"/>
  <c r="AB37" i="26"/>
  <c r="AF37" i="26"/>
  <c r="AE37" i="26"/>
  <c r="AI37" i="26"/>
  <c r="AD37" i="26"/>
  <c r="AL31" i="26"/>
  <c r="AC37" i="26"/>
  <c r="AJ37" i="26"/>
  <c r="D8" i="32"/>
  <c r="D11" i="32" s="1"/>
  <c r="D20" i="32" s="1"/>
  <c r="D33" i="32" s="1"/>
  <c r="CS45" i="44"/>
  <c r="BT46" i="44"/>
  <c r="CS46" i="44" s="1"/>
  <c r="BW65" i="44"/>
  <c r="BP57" i="44"/>
  <c r="BP58" i="44" s="1"/>
  <c r="DG30" i="44"/>
  <c r="CB5" i="44"/>
  <c r="CB7" i="44" s="1"/>
  <c r="DA7" i="44" s="1"/>
  <c r="DD30" i="44"/>
  <c r="CO10" i="44"/>
  <c r="BP5" i="44"/>
  <c r="E8" i="32"/>
  <c r="E11" i="32" s="1"/>
  <c r="E20" i="32" s="1"/>
  <c r="E33" i="32" s="1"/>
  <c r="CE65" i="44"/>
  <c r="CO55" i="44"/>
  <c r="BT35" i="44"/>
  <c r="BT36" i="44" s="1"/>
  <c r="CS36" i="44" s="1"/>
  <c r="CE55" i="44"/>
  <c r="CE56" i="44" s="1"/>
  <c r="DD56" i="44" s="1"/>
  <c r="J15" i="8"/>
  <c r="D51" i="8"/>
  <c r="E104" i="8"/>
  <c r="D7" i="8"/>
  <c r="I24" i="8"/>
  <c r="D113" i="8"/>
  <c r="E51" i="8"/>
  <c r="G104" i="8"/>
  <c r="I42" i="8"/>
  <c r="F104" i="8"/>
  <c r="J42" i="8"/>
  <c r="K15" i="8"/>
  <c r="E113" i="8"/>
  <c r="E95" i="8"/>
  <c r="E77" i="8"/>
  <c r="E60" i="8"/>
  <c r="J33" i="8"/>
  <c r="E86" i="8"/>
  <c r="E69" i="8"/>
  <c r="BF97" i="26" l="1"/>
  <c r="BF89" i="26"/>
  <c r="BF87" i="26"/>
  <c r="BF96" i="26"/>
  <c r="BV13" i="44"/>
  <c r="BF94" i="26"/>
  <c r="BF93" i="26"/>
  <c r="BF85" i="26"/>
  <c r="BF92" i="26"/>
  <c r="CD12" i="44"/>
  <c r="DC12" i="44" s="1"/>
  <c r="CD11" i="44"/>
  <c r="DC11" i="44" s="1"/>
  <c r="BQ8" i="44"/>
  <c r="CC17" i="44"/>
  <c r="DB17" i="44" s="1"/>
  <c r="BY12" i="44"/>
  <c r="CX12" i="44" s="1"/>
  <c r="BY11" i="44"/>
  <c r="CX11" i="44" s="1"/>
  <c r="AQ33" i="26"/>
  <c r="W4" i="29"/>
  <c r="S4" i="29" s="1"/>
  <c r="BR41" i="44"/>
  <c r="CQ41" i="44" s="1"/>
  <c r="CA17" i="44"/>
  <c r="CZ17" i="44" s="1"/>
  <c r="AQ26" i="26"/>
  <c r="AA26" i="26" s="1"/>
  <c r="BQ12" i="44"/>
  <c r="CP12" i="44" s="1"/>
  <c r="AQ34" i="26"/>
  <c r="BV21" i="26"/>
  <c r="BV56" i="26" s="1"/>
  <c r="BG98" i="26" s="1"/>
  <c r="BV22" i="44"/>
  <c r="CU22" i="44" s="1"/>
  <c r="AA22" i="26"/>
  <c r="BG79" i="26" s="1"/>
  <c r="BQ11" i="44"/>
  <c r="CP11" i="44" s="1"/>
  <c r="F20" i="42"/>
  <c r="BY22" i="44"/>
  <c r="CX22" i="44" s="1"/>
  <c r="CI4" i="26"/>
  <c r="CC68" i="44"/>
  <c r="CH18" i="26"/>
  <c r="BK96" i="26"/>
  <c r="J8" i="28"/>
  <c r="J11" i="28" s="1"/>
  <c r="J20" i="28" s="1"/>
  <c r="J33" i="28" s="1"/>
  <c r="J35" i="28" s="1"/>
  <c r="C26" i="27"/>
  <c r="BX63" i="44"/>
  <c r="BU58" i="44"/>
  <c r="C20" i="27"/>
  <c r="C33" i="27" s="1"/>
  <c r="C37" i="27" s="1"/>
  <c r="BT22" i="44"/>
  <c r="CS22" i="44" s="1"/>
  <c r="BV32" i="44"/>
  <c r="CU32" i="44" s="1"/>
  <c r="BZ13" i="44"/>
  <c r="BX6" i="44"/>
  <c r="CW6" i="44" s="1"/>
  <c r="C32" i="27"/>
  <c r="D8" i="33"/>
  <c r="D11" i="33" s="1"/>
  <c r="D20" i="33" s="1"/>
  <c r="D33" i="33" s="1"/>
  <c r="E35" i="33" s="1"/>
  <c r="BR38" i="44"/>
  <c r="CB18" i="44"/>
  <c r="BW6" i="44"/>
  <c r="CV6" i="44" s="1"/>
  <c r="BK92" i="26"/>
  <c r="BK84" i="26"/>
  <c r="BK94" i="26"/>
  <c r="CH17" i="26"/>
  <c r="DD47" i="44"/>
  <c r="BK93" i="26"/>
  <c r="BK87" i="26"/>
  <c r="BR42" i="44"/>
  <c r="CQ42" i="44" s="1"/>
  <c r="BK85" i="26"/>
  <c r="BK86" i="26"/>
  <c r="BK97" i="26"/>
  <c r="BK90" i="26"/>
  <c r="C29" i="27"/>
  <c r="E8" i="40"/>
  <c r="E11" i="40" s="1"/>
  <c r="E20" i="40" s="1"/>
  <c r="E33" i="40" s="1"/>
  <c r="E35" i="40" s="1"/>
  <c r="BQ27" i="44"/>
  <c r="CP27" i="44" s="1"/>
  <c r="BK89" i="26"/>
  <c r="BY52" i="44"/>
  <c r="CX52" i="44" s="1"/>
  <c r="BK88" i="26"/>
  <c r="BK95" i="26"/>
  <c r="BV28" i="44"/>
  <c r="BK91" i="26"/>
  <c r="BR65" i="44"/>
  <c r="BY67" i="44"/>
  <c r="CX67" i="44" s="1"/>
  <c r="E5" i="27"/>
  <c r="E8" i="27" s="1"/>
  <c r="E11" i="27" s="1"/>
  <c r="E20" i="27" s="1"/>
  <c r="E33" i="27" s="1"/>
  <c r="E35" i="27" s="1"/>
  <c r="CS55" i="44"/>
  <c r="CC6" i="44"/>
  <c r="DB6" i="44" s="1"/>
  <c r="D35" i="35"/>
  <c r="CD58" i="44"/>
  <c r="BZ17" i="44"/>
  <c r="CY17" i="44" s="1"/>
  <c r="BT56" i="44"/>
  <c r="CS56" i="44" s="1"/>
  <c r="BZ43" i="44"/>
  <c r="CH20" i="26"/>
  <c r="BO27" i="26"/>
  <c r="BO28" i="26" s="1"/>
  <c r="CA28" i="44"/>
  <c r="CW67" i="44"/>
  <c r="CC63" i="44"/>
  <c r="CT67" i="44"/>
  <c r="BU40" i="44"/>
  <c r="CT40" i="44" s="1"/>
  <c r="CR67" i="44"/>
  <c r="DB67" i="44"/>
  <c r="C27" i="33"/>
  <c r="C29" i="33"/>
  <c r="C31" i="33"/>
  <c r="C28" i="33"/>
  <c r="C20" i="33"/>
  <c r="C33" i="33" s="1"/>
  <c r="C37" i="33" s="1"/>
  <c r="C26" i="33"/>
  <c r="C32" i="33"/>
  <c r="D6" i="27"/>
  <c r="AF22" i="26"/>
  <c r="BL79" i="26" s="1"/>
  <c r="CA21" i="26"/>
  <c r="CA56" i="26" s="1"/>
  <c r="BL98" i="26" s="1"/>
  <c r="C27" i="27"/>
  <c r="BU11" i="44"/>
  <c r="CT11" i="44" s="1"/>
  <c r="BY51" i="44"/>
  <c r="CX51" i="44" s="1"/>
  <c r="BI90" i="26"/>
  <c r="BJ89" i="26"/>
  <c r="BJ90" i="26"/>
  <c r="C31" i="27"/>
  <c r="BS61" i="44"/>
  <c r="CR61" i="44" s="1"/>
  <c r="BR56" i="44"/>
  <c r="CQ56" i="44" s="1"/>
  <c r="BP43" i="44"/>
  <c r="BE97" i="26"/>
  <c r="BI95" i="26"/>
  <c r="BI94" i="26"/>
  <c r="BT17" i="44"/>
  <c r="CS17" i="44" s="1"/>
  <c r="BT67" i="44"/>
  <c r="BM89" i="26"/>
  <c r="BL78" i="26"/>
  <c r="BW27" i="44"/>
  <c r="CV27" i="44" s="1"/>
  <c r="L5" i="28"/>
  <c r="M5" i="28" s="1"/>
  <c r="BU68" i="44"/>
  <c r="BT31" i="44"/>
  <c r="BT33" i="44" s="1"/>
  <c r="F5" i="33"/>
  <c r="F8" i="33" s="1"/>
  <c r="F11" i="33" s="1"/>
  <c r="F20" i="33" s="1"/>
  <c r="F33" i="33" s="1"/>
  <c r="F35" i="33" s="1"/>
  <c r="CB43" i="44"/>
  <c r="BU12" i="44"/>
  <c r="BI27" i="26"/>
  <c r="CL30" i="44" s="1"/>
  <c r="D35" i="34"/>
  <c r="BT37" i="44"/>
  <c r="CS37" i="44" s="1"/>
  <c r="BW11" i="44"/>
  <c r="CV11" i="44" s="1"/>
  <c r="CJ4" i="26"/>
  <c r="BW41" i="44"/>
  <c r="CV41" i="44" s="1"/>
  <c r="D35" i="32"/>
  <c r="D35" i="38"/>
  <c r="BM94" i="26"/>
  <c r="I35" i="30"/>
  <c r="D8" i="41"/>
  <c r="D11" i="41" s="1"/>
  <c r="D20" i="41" s="1"/>
  <c r="D33" i="41" s="1"/>
  <c r="BE94" i="26"/>
  <c r="BS62" i="44"/>
  <c r="CR62" i="44" s="1"/>
  <c r="BY6" i="44"/>
  <c r="CX6" i="44" s="1"/>
  <c r="BW47" i="44"/>
  <c r="CV47" i="44" s="1"/>
  <c r="CE38" i="44"/>
  <c r="BW55" i="44"/>
  <c r="CV55" i="44" s="1"/>
  <c r="CE31" i="44"/>
  <c r="DD31" i="44" s="1"/>
  <c r="CC11" i="44"/>
  <c r="DB11" i="44" s="1"/>
  <c r="F28" i="42"/>
  <c r="BM92" i="26"/>
  <c r="BM91" i="26"/>
  <c r="I35" i="28"/>
  <c r="CE67" i="44"/>
  <c r="BW67" i="44"/>
  <c r="CD23" i="44"/>
  <c r="DC21" i="44"/>
  <c r="C31" i="30"/>
  <c r="C20" i="30"/>
  <c r="C33" i="30" s="1"/>
  <c r="C37" i="30" s="1"/>
  <c r="C32" i="30"/>
  <c r="C29" i="30"/>
  <c r="C28" i="30"/>
  <c r="C27" i="30"/>
  <c r="C26" i="30"/>
  <c r="AS27" i="26"/>
  <c r="Y4" i="32" s="1"/>
  <c r="BV66" i="44"/>
  <c r="CU66" i="44" s="1"/>
  <c r="I8" i="32"/>
  <c r="I11" i="32" s="1"/>
  <c r="I20" i="32" s="1"/>
  <c r="I33" i="32" s="1"/>
  <c r="I35" i="32" s="1"/>
  <c r="BY66" i="44"/>
  <c r="CX66" i="44" s="1"/>
  <c r="CX68" i="44" s="1"/>
  <c r="CY65" i="44"/>
  <c r="DC50" i="44"/>
  <c r="CD51" i="44"/>
  <c r="DC51" i="44" s="1"/>
  <c r="CB39" i="26"/>
  <c r="CQ4" i="26"/>
  <c r="CF39" i="26"/>
  <c r="CU4" i="26"/>
  <c r="BY60" i="44"/>
  <c r="CO42" i="44"/>
  <c r="AS26" i="26"/>
  <c r="G21" i="42"/>
  <c r="CR52" i="44"/>
  <c r="CH11" i="26"/>
  <c r="BJ96" i="26"/>
  <c r="D35" i="36"/>
  <c r="BF24" i="26"/>
  <c r="CD21" i="26"/>
  <c r="AA58" i="44" s="1"/>
  <c r="BE86" i="26"/>
  <c r="BW36" i="44"/>
  <c r="CV36" i="44" s="1"/>
  <c r="BM86" i="26"/>
  <c r="BX66" i="44"/>
  <c r="CW66" i="44" s="1"/>
  <c r="BM88" i="26"/>
  <c r="BP24" i="26"/>
  <c r="BP27" i="26" s="1"/>
  <c r="CE57" i="44"/>
  <c r="DD57" i="44" s="1"/>
  <c r="CZ60" i="44"/>
  <c r="BW66" i="44"/>
  <c r="CV66" i="44" s="1"/>
  <c r="CG15" i="44"/>
  <c r="DF15" i="44" s="1"/>
  <c r="CC46" i="44"/>
  <c r="DB46" i="44" s="1"/>
  <c r="BW37" i="44"/>
  <c r="CV37" i="44" s="1"/>
  <c r="BM93" i="26"/>
  <c r="CS65" i="44"/>
  <c r="BW40" i="26"/>
  <c r="K23" i="44"/>
  <c r="H5" i="40"/>
  <c r="I5" i="40" s="1"/>
  <c r="G8" i="40"/>
  <c r="G11" i="40" s="1"/>
  <c r="G20" i="40" s="1"/>
  <c r="G33" i="40" s="1"/>
  <c r="K5" i="32"/>
  <c r="K8" i="32" s="1"/>
  <c r="K11" i="32" s="1"/>
  <c r="K20" i="32" s="1"/>
  <c r="K33" i="32" s="1"/>
  <c r="J8" i="32"/>
  <c r="J11" i="32" s="1"/>
  <c r="J20" i="32" s="1"/>
  <c r="J33" i="32" s="1"/>
  <c r="CB65" i="44"/>
  <c r="BS35" i="44"/>
  <c r="BS36" i="44" s="1"/>
  <c r="CR36" i="44" s="1"/>
  <c r="BV40" i="44"/>
  <c r="CA61" i="44"/>
  <c r="CZ61" i="44" s="1"/>
  <c r="AC25" i="26"/>
  <c r="AC33" i="26" s="1"/>
  <c r="CC7" i="44"/>
  <c r="DB7" i="44" s="1"/>
  <c r="BP68" i="44"/>
  <c r="BG92" i="26"/>
  <c r="BN23" i="26"/>
  <c r="AC22" i="26"/>
  <c r="BI79" i="26" s="1"/>
  <c r="BM90" i="26"/>
  <c r="BM95" i="26"/>
  <c r="E35" i="29"/>
  <c r="BU46" i="44"/>
  <c r="CT46" i="44" s="1"/>
  <c r="BM87" i="26"/>
  <c r="H35" i="29"/>
  <c r="CX5" i="44"/>
  <c r="BY35" i="44"/>
  <c r="BY37" i="44" s="1"/>
  <c r="CX37" i="44" s="1"/>
  <c r="BQ37" i="44"/>
  <c r="CP37" i="44" s="1"/>
  <c r="AS33" i="26"/>
  <c r="CY31" i="44"/>
  <c r="BZ33" i="44"/>
  <c r="CQ10" i="44"/>
  <c r="CR31" i="44"/>
  <c r="BS33" i="44"/>
  <c r="BU17" i="44"/>
  <c r="CT17" i="44" s="1"/>
  <c r="BU16" i="44"/>
  <c r="CA65" i="44"/>
  <c r="CA67" i="44" s="1"/>
  <c r="BV67" i="44"/>
  <c r="BX21" i="26"/>
  <c r="BX56" i="26" s="1"/>
  <c r="BI98" i="26" s="1"/>
  <c r="CH9" i="26"/>
  <c r="BP97" i="26"/>
  <c r="BZ66" i="44"/>
  <c r="AI22" i="26"/>
  <c r="CD22" i="26" s="1"/>
  <c r="BM96" i="26"/>
  <c r="BZ67" i="44"/>
  <c r="BM85" i="26"/>
  <c r="BQ65" i="44"/>
  <c r="BR11" i="44"/>
  <c r="CQ11" i="44" s="1"/>
  <c r="I8" i="29"/>
  <c r="I11" i="29" s="1"/>
  <c r="I20" i="29" s="1"/>
  <c r="I33" i="29" s="1"/>
  <c r="I35" i="29" s="1"/>
  <c r="J5" i="29"/>
  <c r="BM97" i="26"/>
  <c r="CV45" i="44"/>
  <c r="BR12" i="44"/>
  <c r="CQ12" i="44" s="1"/>
  <c r="E35" i="30"/>
  <c r="BT27" i="44"/>
  <c r="CS27" i="44" s="1"/>
  <c r="BT26" i="44"/>
  <c r="CA40" i="44"/>
  <c r="CA41" i="44" s="1"/>
  <c r="CZ41" i="44" s="1"/>
  <c r="BZ60" i="44"/>
  <c r="BZ61" i="44" s="1"/>
  <c r="CY61" i="44" s="1"/>
  <c r="DC65" i="44"/>
  <c r="CD66" i="44"/>
  <c r="DC66" i="44" s="1"/>
  <c r="CW40" i="44"/>
  <c r="CD39" i="26"/>
  <c r="CS4" i="26"/>
  <c r="BT63" i="44"/>
  <c r="BU61" i="44"/>
  <c r="CT61" i="44" s="1"/>
  <c r="BT48" i="44"/>
  <c r="BS7" i="44"/>
  <c r="CR7" i="44" s="1"/>
  <c r="BG89" i="26"/>
  <c r="CC57" i="44"/>
  <c r="DB57" i="44" s="1"/>
  <c r="BI85" i="26"/>
  <c r="CH15" i="26"/>
  <c r="BI87" i="26"/>
  <c r="BP93" i="26"/>
  <c r="CE26" i="44"/>
  <c r="CE27" i="44"/>
  <c r="DD27" i="44" s="1"/>
  <c r="CQ55" i="44"/>
  <c r="BR57" i="44"/>
  <c r="CQ57" i="44" s="1"/>
  <c r="CE39" i="26"/>
  <c r="CT4" i="26"/>
  <c r="BZ45" i="44"/>
  <c r="BZ46" i="44" s="1"/>
  <c r="CY46" i="44" s="1"/>
  <c r="CW5" i="44"/>
  <c r="BV52" i="44"/>
  <c r="CU52" i="44" s="1"/>
  <c r="CU50" i="44"/>
  <c r="CA35" i="44"/>
  <c r="CA36" i="44" s="1"/>
  <c r="CZ36" i="44" s="1"/>
  <c r="BM28" i="26"/>
  <c r="C37" i="40"/>
  <c r="D35" i="40"/>
  <c r="F8" i="40"/>
  <c r="F11" i="40" s="1"/>
  <c r="F20" i="40" s="1"/>
  <c r="F33" i="40" s="1"/>
  <c r="CA45" i="44"/>
  <c r="CA47" i="44" s="1"/>
  <c r="CZ47" i="44" s="1"/>
  <c r="CC22" i="44"/>
  <c r="DB22" i="44" s="1"/>
  <c r="CC21" i="44"/>
  <c r="BU35" i="44"/>
  <c r="CT35" i="44" s="1"/>
  <c r="BS68" i="44"/>
  <c r="BS6" i="44"/>
  <c r="AV27" i="26"/>
  <c r="AV26" i="26"/>
  <c r="AF25" i="26"/>
  <c r="W4" i="35"/>
  <c r="BY39" i="26"/>
  <c r="CN4" i="26"/>
  <c r="CC31" i="44"/>
  <c r="CC32" i="44"/>
  <c r="DB32" i="44" s="1"/>
  <c r="CC50" i="44"/>
  <c r="CC52" i="44" s="1"/>
  <c r="DB52" i="44" s="1"/>
  <c r="CQ45" i="44"/>
  <c r="BS45" i="44"/>
  <c r="BS46" i="44" s="1"/>
  <c r="CR46" i="44" s="1"/>
  <c r="BX55" i="44"/>
  <c r="BX57" i="44" s="1"/>
  <c r="CW57" i="44" s="1"/>
  <c r="BP13" i="44"/>
  <c r="BK24" i="26"/>
  <c r="BK25" i="26" s="1"/>
  <c r="CH19" i="26"/>
  <c r="CH12" i="26"/>
  <c r="K33" i="44"/>
  <c r="BY40" i="26"/>
  <c r="BQ42" i="44"/>
  <c r="CP42" i="44" s="1"/>
  <c r="CP40" i="44"/>
  <c r="CE42" i="44"/>
  <c r="DD40" i="44"/>
  <c r="BV60" i="44"/>
  <c r="BV61" i="44" s="1"/>
  <c r="CU61" i="44" s="1"/>
  <c r="BT41" i="44"/>
  <c r="CS41" i="44" s="1"/>
  <c r="BR46" i="44"/>
  <c r="CQ46" i="44" s="1"/>
  <c r="CW65" i="44"/>
  <c r="BT42" i="44"/>
  <c r="CS42" i="44" s="1"/>
  <c r="BX42" i="44"/>
  <c r="CW42" i="44" s="1"/>
  <c r="BZ26" i="44"/>
  <c r="BZ27" i="44"/>
  <c r="CY27" i="44" s="1"/>
  <c r="CT45" i="44"/>
  <c r="CD67" i="44"/>
  <c r="BV45" i="44"/>
  <c r="BV47" i="44" s="1"/>
  <c r="CU47" i="44" s="1"/>
  <c r="BW50" i="44"/>
  <c r="BW52" i="44" s="1"/>
  <c r="CV52" i="44" s="1"/>
  <c r="BU56" i="26"/>
  <c r="BF98" i="26" s="1"/>
  <c r="AA13" i="44"/>
  <c r="CF10" i="44" s="1"/>
  <c r="CF11" i="44" s="1"/>
  <c r="DE11" i="44" s="1"/>
  <c r="E8" i="38"/>
  <c r="E11" i="38" s="1"/>
  <c r="E20" i="38" s="1"/>
  <c r="E33" i="38" s="1"/>
  <c r="E35" i="38" s="1"/>
  <c r="F5" i="38"/>
  <c r="BX27" i="44"/>
  <c r="CW27" i="44" s="1"/>
  <c r="BX26" i="44"/>
  <c r="BU5" i="44"/>
  <c r="BU7" i="44" s="1"/>
  <c r="CT7" i="44" s="1"/>
  <c r="AO33" i="26"/>
  <c r="W4" i="27"/>
  <c r="AO27" i="26"/>
  <c r="AO26" i="26"/>
  <c r="Y25" i="26"/>
  <c r="BW60" i="44"/>
  <c r="CA31" i="44"/>
  <c r="CA32" i="44"/>
  <c r="CZ32" i="44" s="1"/>
  <c r="BG91" i="26"/>
  <c r="BG87" i="26"/>
  <c r="BG94" i="26"/>
  <c r="BG95" i="26"/>
  <c r="BG93" i="26"/>
  <c r="BG84" i="26"/>
  <c r="BU22" i="44"/>
  <c r="CT22" i="44" s="1"/>
  <c r="BU21" i="44"/>
  <c r="CU35" i="44"/>
  <c r="CO15" i="44"/>
  <c r="CB31" i="44"/>
  <c r="CB32" i="44"/>
  <c r="DA32" i="44" s="1"/>
  <c r="BP78" i="26"/>
  <c r="CE21" i="26"/>
  <c r="AJ22" i="26"/>
  <c r="CA5" i="44"/>
  <c r="BU26" i="44"/>
  <c r="BU27" i="44"/>
  <c r="CT27" i="44" s="1"/>
  <c r="CH10" i="26"/>
  <c r="CH13" i="26"/>
  <c r="CO60" i="44"/>
  <c r="BQ45" i="44"/>
  <c r="CP45" i="44" s="1"/>
  <c r="BW17" i="44"/>
  <c r="CV17" i="44" s="1"/>
  <c r="BW16" i="44"/>
  <c r="K5" i="30"/>
  <c r="J8" i="30"/>
  <c r="J11" i="30" s="1"/>
  <c r="J20" i="30" s="1"/>
  <c r="J33" i="30" s="1"/>
  <c r="J35" i="30" s="1"/>
  <c r="BP95" i="26"/>
  <c r="BP85" i="26"/>
  <c r="BP86" i="26"/>
  <c r="BP92" i="26"/>
  <c r="BP90" i="26"/>
  <c r="BP88" i="26"/>
  <c r="BP91" i="26"/>
  <c r="BP84" i="26"/>
  <c r="BY57" i="44"/>
  <c r="CX57" i="44" s="1"/>
  <c r="CX55" i="44"/>
  <c r="AY26" i="26"/>
  <c r="AY27" i="26"/>
  <c r="W4" i="39"/>
  <c r="AI25" i="26"/>
  <c r="CR16" i="44"/>
  <c r="BS18" i="44"/>
  <c r="BG97" i="26"/>
  <c r="CB35" i="44"/>
  <c r="CB36" i="44" s="1"/>
  <c r="DA36" i="44" s="1"/>
  <c r="AG22" i="26"/>
  <c r="BM78" i="26"/>
  <c r="BZ5" i="44"/>
  <c r="BZ6" i="44" s="1"/>
  <c r="CY6" i="44" s="1"/>
  <c r="BP94" i="26"/>
  <c r="CB21" i="44"/>
  <c r="CB22" i="44"/>
  <c r="DA22" i="44" s="1"/>
  <c r="AD25" i="26"/>
  <c r="AT26" i="26"/>
  <c r="W4" i="33"/>
  <c r="AT27" i="26"/>
  <c r="CE50" i="44"/>
  <c r="CE51" i="44" s="1"/>
  <c r="DD51" i="44" s="1"/>
  <c r="BX45" i="44"/>
  <c r="BX46" i="44" s="1"/>
  <c r="CW46" i="44" s="1"/>
  <c r="H35" i="32"/>
  <c r="G35" i="32"/>
  <c r="BE84" i="26"/>
  <c r="BE91" i="26"/>
  <c r="BE90" i="26"/>
  <c r="CB52" i="44"/>
  <c r="BR51" i="44"/>
  <c r="CQ51" i="44" s="1"/>
  <c r="CB6" i="44"/>
  <c r="DA6" i="44" s="1"/>
  <c r="CC37" i="44"/>
  <c r="DB37" i="44" s="1"/>
  <c r="BP62" i="44"/>
  <c r="CR55" i="44"/>
  <c r="BS57" i="44"/>
  <c r="CE5" i="44"/>
  <c r="CE6" i="44" s="1"/>
  <c r="DD6" i="44" s="1"/>
  <c r="BR60" i="44"/>
  <c r="BR61" i="44" s="1"/>
  <c r="CQ61" i="44" s="1"/>
  <c r="BY56" i="44"/>
  <c r="CX56" i="44" s="1"/>
  <c r="BV5" i="44"/>
  <c r="BV7" i="44" s="1"/>
  <c r="CU7" i="44" s="1"/>
  <c r="CP60" i="44"/>
  <c r="CA50" i="44"/>
  <c r="CA52" i="44" s="1"/>
  <c r="CZ52" i="44" s="1"/>
  <c r="BW31" i="44"/>
  <c r="BW32" i="44"/>
  <c r="CV32" i="44" s="1"/>
  <c r="CE60" i="44"/>
  <c r="CE62" i="44" s="1"/>
  <c r="DD62" i="44" s="1"/>
  <c r="BT10" i="44"/>
  <c r="CU31" i="44"/>
  <c r="AX26" i="26"/>
  <c r="AX27" i="26"/>
  <c r="W4" i="38"/>
  <c r="AH25" i="26"/>
  <c r="CD32" i="44"/>
  <c r="DC32" i="44" s="1"/>
  <c r="CD31" i="44"/>
  <c r="BI84" i="26"/>
  <c r="BI93" i="26"/>
  <c r="BI92" i="26"/>
  <c r="BI86" i="26"/>
  <c r="BI97" i="26"/>
  <c r="BI88" i="26"/>
  <c r="CE17" i="44"/>
  <c r="DD17" i="44" s="1"/>
  <c r="CE16" i="44"/>
  <c r="BG96" i="26"/>
  <c r="AX33" i="26"/>
  <c r="BQ22" i="44"/>
  <c r="CP22" i="44" s="1"/>
  <c r="BQ21" i="44"/>
  <c r="BZ55" i="44"/>
  <c r="BZ56" i="44" s="1"/>
  <c r="CY56" i="44" s="1"/>
  <c r="DB45" i="44"/>
  <c r="AW27" i="26"/>
  <c r="AG25" i="26"/>
  <c r="AW26" i="26"/>
  <c r="W4" i="36"/>
  <c r="CA22" i="44"/>
  <c r="CZ22" i="44" s="1"/>
  <c r="CA21" i="44"/>
  <c r="CB10" i="44"/>
  <c r="CB12" i="44" s="1"/>
  <c r="DA12" i="44" s="1"/>
  <c r="F35" i="28"/>
  <c r="G35" i="28"/>
  <c r="AU26" i="26"/>
  <c r="AE25" i="26"/>
  <c r="BZ25" i="26" s="1"/>
  <c r="AU27" i="26"/>
  <c r="W4" i="34"/>
  <c r="BX22" i="44"/>
  <c r="CW22" i="44" s="1"/>
  <c r="BX21" i="44"/>
  <c r="BE92" i="26"/>
  <c r="BY27" i="44"/>
  <c r="CX27" i="44" s="1"/>
  <c r="BY26" i="44"/>
  <c r="CV26" i="44"/>
  <c r="AD22" i="26"/>
  <c r="BJ78" i="26"/>
  <c r="BR31" i="44"/>
  <c r="BR32" i="44"/>
  <c r="CQ32" i="44" s="1"/>
  <c r="BE96" i="26"/>
  <c r="CA10" i="44"/>
  <c r="CA11" i="44" s="1"/>
  <c r="CZ11" i="44" s="1"/>
  <c r="CE10" i="44"/>
  <c r="CE12" i="44" s="1"/>
  <c r="DD12" i="44" s="1"/>
  <c r="BU31" i="44"/>
  <c r="BU32" i="44"/>
  <c r="CT32" i="44" s="1"/>
  <c r="BX35" i="44"/>
  <c r="BX36" i="44" s="1"/>
  <c r="CW36" i="44" s="1"/>
  <c r="CA55" i="44"/>
  <c r="CA56" i="44" s="1"/>
  <c r="CZ56" i="44" s="1"/>
  <c r="BI96" i="26"/>
  <c r="BZ39" i="26"/>
  <c r="CO4" i="26"/>
  <c r="CH16" i="26"/>
  <c r="BQ50" i="44"/>
  <c r="BW21" i="44"/>
  <c r="BW22" i="44"/>
  <c r="CV22" i="44" s="1"/>
  <c r="BP96" i="26"/>
  <c r="BE89" i="26"/>
  <c r="F27" i="42"/>
  <c r="CO61" i="44"/>
  <c r="BS11" i="44"/>
  <c r="CR11" i="44" s="1"/>
  <c r="CR10" i="44"/>
  <c r="G28" i="42"/>
  <c r="CO67" i="44"/>
  <c r="CO68" i="44" s="1"/>
  <c r="CK4" i="26"/>
  <c r="BV39" i="26"/>
  <c r="CG20" i="44"/>
  <c r="BG23" i="26"/>
  <c r="BG24" i="26" s="1"/>
  <c r="CC21" i="26"/>
  <c r="AH22" i="26"/>
  <c r="BN78" i="26"/>
  <c r="BY31" i="44"/>
  <c r="BY32" i="44"/>
  <c r="CX32" i="44" s="1"/>
  <c r="BX17" i="44"/>
  <c r="CW17" i="44" s="1"/>
  <c r="BX16" i="44"/>
  <c r="BK78" i="26"/>
  <c r="BZ21" i="26"/>
  <c r="AE22" i="26"/>
  <c r="CS16" i="44"/>
  <c r="BE24" i="26"/>
  <c r="BE27" i="26" s="1"/>
  <c r="CD62" i="44"/>
  <c r="DC62" i="44" s="1"/>
  <c r="DC60" i="44"/>
  <c r="BT5" i="44"/>
  <c r="BT7" i="44" s="1"/>
  <c r="CS7" i="44" s="1"/>
  <c r="BG88" i="26"/>
  <c r="BR5" i="44"/>
  <c r="BR7" i="44" s="1"/>
  <c r="CQ7" i="44" s="1"/>
  <c r="BZ38" i="44"/>
  <c r="BV57" i="44"/>
  <c r="CU57" i="44" s="1"/>
  <c r="BQ55" i="44"/>
  <c r="BQ57" i="44" s="1"/>
  <c r="CP57" i="44" s="1"/>
  <c r="Z22" i="26"/>
  <c r="BF78" i="26"/>
  <c r="CH14" i="26"/>
  <c r="BH78" i="26"/>
  <c r="AB22" i="26"/>
  <c r="BW22" i="26" s="1"/>
  <c r="CE21" i="44"/>
  <c r="CE22" i="44"/>
  <c r="DD22" i="44" s="1"/>
  <c r="DA60" i="44"/>
  <c r="BW21" i="26"/>
  <c r="BZ50" i="44"/>
  <c r="BZ51" i="44" s="1"/>
  <c r="CY51" i="44" s="1"/>
  <c r="BR26" i="44"/>
  <c r="BR27" i="44"/>
  <c r="CQ27" i="44" s="1"/>
  <c r="BQ17" i="44"/>
  <c r="CP17" i="44" s="1"/>
  <c r="BQ16" i="44"/>
  <c r="E8" i="34"/>
  <c r="E11" i="34" s="1"/>
  <c r="E20" i="34" s="1"/>
  <c r="E33" i="34" s="1"/>
  <c r="E35" i="34" s="1"/>
  <c r="F5" i="34"/>
  <c r="BR16" i="44"/>
  <c r="BR17" i="44"/>
  <c r="CQ17" i="44" s="1"/>
  <c r="F5" i="36"/>
  <c r="E8" i="36"/>
  <c r="E11" i="36" s="1"/>
  <c r="E20" i="36" s="1"/>
  <c r="E33" i="36" s="1"/>
  <c r="E35" i="36" s="1"/>
  <c r="BG90" i="26"/>
  <c r="AA33" i="44"/>
  <c r="BY56" i="26"/>
  <c r="BJ98" i="26" s="1"/>
  <c r="BV36" i="44"/>
  <c r="CU36" i="44" s="1"/>
  <c r="CU21" i="44"/>
  <c r="BP87" i="26"/>
  <c r="CD40" i="44"/>
  <c r="CD41" i="44" s="1"/>
  <c r="DC41" i="44" s="1"/>
  <c r="BJ84" i="26"/>
  <c r="BJ95" i="26"/>
  <c r="BJ85" i="26"/>
  <c r="BJ88" i="26"/>
  <c r="BJ97" i="26"/>
  <c r="BJ86" i="26"/>
  <c r="BJ92" i="26"/>
  <c r="BJ87" i="26"/>
  <c r="CD26" i="44"/>
  <c r="CD27" i="44"/>
  <c r="DC27" i="44" s="1"/>
  <c r="CX45" i="44"/>
  <c r="CD35" i="44"/>
  <c r="CD37" i="44" s="1"/>
  <c r="DC37" i="44" s="1"/>
  <c r="DA50" i="44"/>
  <c r="BV56" i="44"/>
  <c r="CU56" i="44" s="1"/>
  <c r="CB55" i="44"/>
  <c r="CB57" i="44" s="1"/>
  <c r="DA57" i="44" s="1"/>
  <c r="CB45" i="44"/>
  <c r="CB47" i="44" s="1"/>
  <c r="DA47" i="44" s="1"/>
  <c r="BX10" i="44"/>
  <c r="BE87" i="26"/>
  <c r="W4" i="28"/>
  <c r="AP27" i="26"/>
  <c r="AP26" i="26"/>
  <c r="Z25" i="26"/>
  <c r="Y22" i="26"/>
  <c r="BE78" i="26"/>
  <c r="BT21" i="26"/>
  <c r="BY16" i="44"/>
  <c r="BY17" i="44"/>
  <c r="CX17" i="44" s="1"/>
  <c r="BL24" i="26"/>
  <c r="DB40" i="44"/>
  <c r="CC42" i="44"/>
  <c r="F5" i="39"/>
  <c r="E8" i="39"/>
  <c r="E11" i="39" s="1"/>
  <c r="E20" i="39" s="1"/>
  <c r="E33" i="39" s="1"/>
  <c r="E35" i="39" s="1"/>
  <c r="BP89" i="26"/>
  <c r="AR26" i="26"/>
  <c r="AR27" i="26"/>
  <c r="W4" i="30"/>
  <c r="AB25" i="26"/>
  <c r="BE88" i="26"/>
  <c r="BQ61" i="44"/>
  <c r="CP61" i="44" s="1"/>
  <c r="BJ93" i="26"/>
  <c r="DB55" i="44"/>
  <c r="BP35" i="44"/>
  <c r="BD23" i="26"/>
  <c r="BD24" i="26" s="1"/>
  <c r="CB62" i="44"/>
  <c r="DA62" i="44" s="1"/>
  <c r="DE20" i="44"/>
  <c r="AY33" i="26"/>
  <c r="D35" i="29"/>
  <c r="BT50" i="44"/>
  <c r="BT51" i="44" s="1"/>
  <c r="CS51" i="44" s="1"/>
  <c r="CB21" i="26"/>
  <c r="E8" i="41"/>
  <c r="E11" i="41" s="1"/>
  <c r="E20" i="41" s="1"/>
  <c r="E33" i="41" s="1"/>
  <c r="F5" i="41"/>
  <c r="BX31" i="44"/>
  <c r="BX32" i="44"/>
  <c r="CW32" i="44" s="1"/>
  <c r="CC27" i="44"/>
  <c r="DB27" i="44" s="1"/>
  <c r="CC26" i="44"/>
  <c r="CB26" i="44"/>
  <c r="CB27" i="44"/>
  <c r="DA27" i="44" s="1"/>
  <c r="CD17" i="44"/>
  <c r="DC17" i="44" s="1"/>
  <c r="CD16" i="44"/>
  <c r="DB10" i="44"/>
  <c r="CP31" i="44"/>
  <c r="BQ33" i="44"/>
  <c r="BJ91" i="26"/>
  <c r="BS21" i="44"/>
  <c r="BS22" i="44"/>
  <c r="CR22" i="44" s="1"/>
  <c r="BE95" i="26"/>
  <c r="BU50" i="44"/>
  <c r="BU51" i="44" s="1"/>
  <c r="CT51" i="44" s="1"/>
  <c r="AU33" i="26"/>
  <c r="BS27" i="44"/>
  <c r="CR27" i="44" s="1"/>
  <c r="BS26" i="44"/>
  <c r="BE85" i="26"/>
  <c r="BV37" i="44"/>
  <c r="CU37" i="44" s="1"/>
  <c r="BZ21" i="44"/>
  <c r="BZ22" i="44"/>
  <c r="CY22" i="44" s="1"/>
  <c r="BI91" i="26"/>
  <c r="C26" i="41"/>
  <c r="C31" i="41"/>
  <c r="C27" i="41"/>
  <c r="C29" i="41"/>
  <c r="C32" i="41"/>
  <c r="C20" i="41"/>
  <c r="C33" i="41" s="1"/>
  <c r="C37" i="41" s="1"/>
  <c r="C28" i="41"/>
  <c r="BV40" i="26"/>
  <c r="K18" i="44"/>
  <c r="CD5" i="44"/>
  <c r="CD7" i="44" s="1"/>
  <c r="DC7" i="44" s="1"/>
  <c r="BJ94" i="26"/>
  <c r="W4" i="40"/>
  <c r="AZ26" i="26"/>
  <c r="AZ27" i="26"/>
  <c r="AJ25" i="26"/>
  <c r="CD61" i="44"/>
  <c r="DC61" i="44" s="1"/>
  <c r="BY46" i="44"/>
  <c r="CX46" i="44" s="1"/>
  <c r="CD45" i="44"/>
  <c r="BE93" i="26"/>
  <c r="CY16" i="44"/>
  <c r="BV16" i="44"/>
  <c r="BV17" i="44"/>
  <c r="CU17" i="44" s="1"/>
  <c r="BG85" i="26"/>
  <c r="CH25" i="44"/>
  <c r="CO5" i="44"/>
  <c r="U4" i="32"/>
  <c r="V4" i="32"/>
  <c r="S4" i="32"/>
  <c r="X4" i="32"/>
  <c r="T4" i="32"/>
  <c r="Z39" i="26"/>
  <c r="AD39" i="26"/>
  <c r="AH39" i="26"/>
  <c r="AB39" i="26"/>
  <c r="AG39" i="26"/>
  <c r="AI39" i="26"/>
  <c r="AC39" i="26"/>
  <c r="AJ39" i="26"/>
  <c r="Y39" i="26"/>
  <c r="AA39" i="26"/>
  <c r="AK39" i="26"/>
  <c r="AF39" i="26"/>
  <c r="AE39" i="26"/>
  <c r="BA26" i="26"/>
  <c r="AK25" i="26"/>
  <c r="BA27" i="26"/>
  <c r="W4" i="41"/>
  <c r="BJ27" i="26"/>
  <c r="DH30" i="44"/>
  <c r="CS35" i="44"/>
  <c r="CE66" i="44"/>
  <c r="DD66" i="44" s="1"/>
  <c r="BP6" i="44"/>
  <c r="CV10" i="44"/>
  <c r="DD55" i="44"/>
  <c r="CQ50" i="44"/>
  <c r="CV65" i="44"/>
  <c r="CV40" i="44"/>
  <c r="BH84" i="26"/>
  <c r="BH93" i="26"/>
  <c r="BH95" i="26"/>
  <c r="BH90" i="26"/>
  <c r="BH85" i="26"/>
  <c r="BH94" i="26"/>
  <c r="BH89" i="26"/>
  <c r="BH97" i="26"/>
  <c r="BH96" i="26"/>
  <c r="BH92" i="26"/>
  <c r="BH88" i="26"/>
  <c r="BH91" i="26"/>
  <c r="BH87" i="26"/>
  <c r="BH86" i="26"/>
  <c r="CP4" i="26"/>
  <c r="CA39" i="26"/>
  <c r="DB35" i="44"/>
  <c r="C37" i="39"/>
  <c r="D35" i="39"/>
  <c r="DD65" i="44"/>
  <c r="CK25" i="44"/>
  <c r="AA27" i="26"/>
  <c r="BV25" i="26"/>
  <c r="AA33" i="26"/>
  <c r="BG82" i="26"/>
  <c r="CT60" i="44"/>
  <c r="BA33" i="26"/>
  <c r="CH7" i="26"/>
  <c r="CH8" i="26"/>
  <c r="CU65" i="44"/>
  <c r="CG25" i="44"/>
  <c r="BQ22" i="26"/>
  <c r="F5" i="35"/>
  <c r="E8" i="35"/>
  <c r="E11" i="35" s="1"/>
  <c r="E20" i="35" s="1"/>
  <c r="E33" i="35" s="1"/>
  <c r="E35" i="35" s="1"/>
  <c r="BP7" i="44"/>
  <c r="E35" i="32"/>
  <c r="F35" i="32"/>
  <c r="CV5" i="44"/>
  <c r="DA5" i="44"/>
  <c r="G19" i="42"/>
  <c r="CO57" i="44"/>
  <c r="E35" i="28"/>
  <c r="D35" i="28"/>
  <c r="CF21" i="26"/>
  <c r="AK22" i="26"/>
  <c r="BQ78" i="26"/>
  <c r="AL21" i="26"/>
  <c r="BR22" i="44"/>
  <c r="CQ22" i="44" s="1"/>
  <c r="BR21" i="44"/>
  <c r="CP35" i="44"/>
  <c r="BH24" i="26"/>
  <c r="DE25" i="44"/>
  <c r="R7" i="24"/>
  <c r="E7" i="8"/>
  <c r="L15" i="8"/>
  <c r="F51" i="8"/>
  <c r="H104" i="8"/>
  <c r="J24" i="8"/>
  <c r="K42" i="8"/>
  <c r="F86" i="8"/>
  <c r="K33" i="8"/>
  <c r="F77" i="8"/>
  <c r="F113" i="8"/>
  <c r="I104" i="8"/>
  <c r="F60" i="8"/>
  <c r="F95" i="8"/>
  <c r="M15" i="8"/>
  <c r="F69" i="8"/>
  <c r="CD13" i="44" l="1"/>
  <c r="CR68" i="44"/>
  <c r="CT68" i="44"/>
  <c r="CW68" i="44"/>
  <c r="DB68" i="44"/>
  <c r="CA18" i="44"/>
  <c r="CC18" i="44"/>
  <c r="BV22" i="26"/>
  <c r="AB18" i="44" s="1"/>
  <c r="CG17" i="44" s="1"/>
  <c r="DF17" i="44" s="1"/>
  <c r="BY13" i="44"/>
  <c r="T4" i="29"/>
  <c r="V4" i="29"/>
  <c r="X4" i="29"/>
  <c r="U4" i="29"/>
  <c r="BV23" i="44"/>
  <c r="AA18" i="44"/>
  <c r="CF17" i="44" s="1"/>
  <c r="DE17" i="44" s="1"/>
  <c r="AA23" i="26"/>
  <c r="AA24" i="26" s="1"/>
  <c r="BG81" i="26" s="1"/>
  <c r="AS28" i="26"/>
  <c r="Z4" i="32" s="1"/>
  <c r="CA22" i="26"/>
  <c r="AB43" i="44" s="1"/>
  <c r="CG40" i="44" s="1"/>
  <c r="CG41" i="44" s="1"/>
  <c r="DF41" i="44" s="1"/>
  <c r="K35" i="28"/>
  <c r="BQ28" i="44"/>
  <c r="AF23" i="26"/>
  <c r="BL80" i="26" s="1"/>
  <c r="BQ13" i="44"/>
  <c r="BR43" i="44"/>
  <c r="BT23" i="44"/>
  <c r="BW8" i="44"/>
  <c r="BX8" i="44"/>
  <c r="BY23" i="44"/>
  <c r="BU41" i="44"/>
  <c r="CT41" i="44" s="1"/>
  <c r="BT38" i="44"/>
  <c r="BW48" i="44"/>
  <c r="BV33" i="44"/>
  <c r="BY8" i="44"/>
  <c r="BU42" i="44"/>
  <c r="CT42" i="44" s="1"/>
  <c r="E35" i="41"/>
  <c r="CQ65" i="44"/>
  <c r="BR66" i="44"/>
  <c r="CQ66" i="44" s="1"/>
  <c r="BT18" i="44"/>
  <c r="F5" i="27"/>
  <c r="F6" i="27" s="1"/>
  <c r="BT58" i="44"/>
  <c r="CS31" i="44"/>
  <c r="BW28" i="44"/>
  <c r="F35" i="40"/>
  <c r="BR67" i="44"/>
  <c r="BZ18" i="44"/>
  <c r="E6" i="27"/>
  <c r="K35" i="32"/>
  <c r="BI28" i="26"/>
  <c r="CM30" i="44" s="1"/>
  <c r="DL30" i="44" s="1"/>
  <c r="D35" i="33"/>
  <c r="DC67" i="44"/>
  <c r="CY67" i="44"/>
  <c r="CS67" i="44"/>
  <c r="CZ67" i="44"/>
  <c r="CV67" i="44"/>
  <c r="BQ56" i="44"/>
  <c r="CP56" i="44" s="1"/>
  <c r="AA43" i="44"/>
  <c r="CF40" i="44" s="1"/>
  <c r="CF42" i="44" s="1"/>
  <c r="DE42" i="44" s="1"/>
  <c r="CU67" i="44"/>
  <c r="DD67" i="44"/>
  <c r="BY53" i="44"/>
  <c r="AC27" i="26"/>
  <c r="BI82" i="26"/>
  <c r="BW43" i="44"/>
  <c r="AA28" i="44"/>
  <c r="CF26" i="44" s="1"/>
  <c r="CD53" i="44"/>
  <c r="BW13" i="44"/>
  <c r="G5" i="33"/>
  <c r="G8" i="33" s="1"/>
  <c r="G11" i="33" s="1"/>
  <c r="G20" i="33" s="1"/>
  <c r="G33" i="33" s="1"/>
  <c r="G35" i="33" s="1"/>
  <c r="BZ7" i="44"/>
  <c r="CY7" i="44" s="1"/>
  <c r="BT68" i="44"/>
  <c r="CT12" i="44"/>
  <c r="BU13" i="44"/>
  <c r="L8" i="28"/>
  <c r="L11" i="28" s="1"/>
  <c r="L20" i="28" s="1"/>
  <c r="L33" i="28" s="1"/>
  <c r="L35" i="28" s="1"/>
  <c r="CC13" i="44"/>
  <c r="BW57" i="44"/>
  <c r="CV57" i="44" s="1"/>
  <c r="BG27" i="26"/>
  <c r="BG28" i="26" s="1"/>
  <c r="CI20" i="44"/>
  <c r="DH20" i="44" s="1"/>
  <c r="AC23" i="26"/>
  <c r="BQ38" i="44"/>
  <c r="CC8" i="44"/>
  <c r="BY68" i="44"/>
  <c r="J35" i="32"/>
  <c r="BX22" i="26"/>
  <c r="AB28" i="44" s="1"/>
  <c r="BU48" i="44"/>
  <c r="BW38" i="44"/>
  <c r="CE33" i="44"/>
  <c r="CC48" i="44"/>
  <c r="CE7" i="44"/>
  <c r="DD7" i="44" s="1"/>
  <c r="BX68" i="44"/>
  <c r="BV62" i="44"/>
  <c r="CU62" i="44" s="1"/>
  <c r="BS63" i="44"/>
  <c r="BW56" i="44"/>
  <c r="CB66" i="44"/>
  <c r="DA66" i="44" s="1"/>
  <c r="BY62" i="44"/>
  <c r="CX62" i="44" s="1"/>
  <c r="CX73" i="44" s="1"/>
  <c r="CX60" i="44"/>
  <c r="BP28" i="26"/>
  <c r="CC38" i="44"/>
  <c r="CE58" i="44"/>
  <c r="BU52" i="44"/>
  <c r="CT52" i="44" s="1"/>
  <c r="H8" i="40"/>
  <c r="H11" i="40" s="1"/>
  <c r="H20" i="40" s="1"/>
  <c r="H33" i="40" s="1"/>
  <c r="H35" i="40" s="1"/>
  <c r="CA12" i="44"/>
  <c r="CZ12" i="44" s="1"/>
  <c r="CA51" i="44"/>
  <c r="CZ51" i="44" s="1"/>
  <c r="CD56" i="26"/>
  <c r="BO98" i="26" s="1"/>
  <c r="BS47" i="44"/>
  <c r="CR47" i="44" s="1"/>
  <c r="BS37" i="44"/>
  <c r="CR37" i="44" s="1"/>
  <c r="BF27" i="26"/>
  <c r="BV27" i="26" s="1"/>
  <c r="CI15" i="44"/>
  <c r="DH15" i="44" s="1"/>
  <c r="BP22" i="44"/>
  <c r="BP21" i="44"/>
  <c r="BV68" i="44"/>
  <c r="BW68" i="44"/>
  <c r="AI23" i="26"/>
  <c r="BO80" i="26" s="1"/>
  <c r="CA25" i="26"/>
  <c r="CA60" i="26" s="1"/>
  <c r="BL102" i="26" s="1"/>
  <c r="CA46" i="44"/>
  <c r="CZ46" i="44" s="1"/>
  <c r="CA42" i="44"/>
  <c r="CZ42" i="44" s="1"/>
  <c r="D35" i="30"/>
  <c r="BY61" i="44"/>
  <c r="CX61" i="44" s="1"/>
  <c r="CP65" i="44"/>
  <c r="CU40" i="44"/>
  <c r="CY66" i="44"/>
  <c r="BZ68" i="44"/>
  <c r="CA66" i="44"/>
  <c r="CZ66" i="44" s="1"/>
  <c r="CZ65" i="44"/>
  <c r="BN24" i="26"/>
  <c r="BN25" i="26" s="1"/>
  <c r="AC26" i="26"/>
  <c r="BX26" i="26" s="1"/>
  <c r="AF28" i="44" s="1"/>
  <c r="CK26" i="44" s="1"/>
  <c r="DJ26" i="44" s="1"/>
  <c r="CA63" i="44"/>
  <c r="BU63" i="44"/>
  <c r="CD6" i="44"/>
  <c r="DC6" i="44" s="1"/>
  <c r="BV46" i="44"/>
  <c r="CU46" i="44" s="1"/>
  <c r="CD68" i="44"/>
  <c r="BZ47" i="44"/>
  <c r="CY47" i="44" s="1"/>
  <c r="G35" i="40"/>
  <c r="BQ67" i="44"/>
  <c r="CT16" i="44"/>
  <c r="BU18" i="44"/>
  <c r="BR13" i="44"/>
  <c r="BY36" i="44"/>
  <c r="CX36" i="44" s="1"/>
  <c r="CX35" i="44"/>
  <c r="BV41" i="44"/>
  <c r="CU41" i="44" s="1"/>
  <c r="DA65" i="44"/>
  <c r="BX25" i="26"/>
  <c r="AE28" i="44" s="1"/>
  <c r="BQ23" i="26"/>
  <c r="BV38" i="44"/>
  <c r="BO79" i="26"/>
  <c r="BU37" i="44"/>
  <c r="CT37" i="44" s="1"/>
  <c r="CB67" i="44"/>
  <c r="L5" i="32"/>
  <c r="L8" i="32" s="1"/>
  <c r="L11" i="32" s="1"/>
  <c r="L20" i="32" s="1"/>
  <c r="L33" i="32" s="1"/>
  <c r="L35" i="32" s="1"/>
  <c r="AJ26" i="26"/>
  <c r="CE26" i="26" s="1"/>
  <c r="AF63" i="44" s="1"/>
  <c r="CK60" i="44" s="1"/>
  <c r="CC58" i="44"/>
  <c r="CB46" i="44"/>
  <c r="DA46" i="44" s="1"/>
  <c r="CD42" i="44"/>
  <c r="DC42" i="44" s="1"/>
  <c r="BK27" i="26"/>
  <c r="BR48" i="44"/>
  <c r="CA37" i="44"/>
  <c r="CZ37" i="44" s="1"/>
  <c r="J8" i="29"/>
  <c r="J11" i="29" s="1"/>
  <c r="J20" i="29" s="1"/>
  <c r="J33" i="29" s="1"/>
  <c r="J35" i="29" s="1"/>
  <c r="K5" i="29"/>
  <c r="BQ66" i="44"/>
  <c r="CP66" i="44" s="1"/>
  <c r="BV42" i="44"/>
  <c r="CU42" i="44" s="1"/>
  <c r="CR35" i="44"/>
  <c r="CB56" i="44"/>
  <c r="DA56" i="44" s="1"/>
  <c r="BR6" i="44"/>
  <c r="CQ6" i="44" s="1"/>
  <c r="BT6" i="44"/>
  <c r="CS6" i="44" s="1"/>
  <c r="BR62" i="44"/>
  <c r="CQ62" i="44" s="1"/>
  <c r="CV50" i="44"/>
  <c r="CY26" i="44"/>
  <c r="BZ28" i="44"/>
  <c r="BP32" i="44"/>
  <c r="BP31" i="44"/>
  <c r="BX56" i="44"/>
  <c r="CW56" i="44" s="1"/>
  <c r="BV53" i="44"/>
  <c r="D35" i="27"/>
  <c r="CY60" i="44"/>
  <c r="CS26" i="44"/>
  <c r="BT28" i="44"/>
  <c r="CF12" i="44"/>
  <c r="DE12" i="44" s="1"/>
  <c r="BY48" i="44"/>
  <c r="CE52" i="44"/>
  <c r="DD52" i="44" s="1"/>
  <c r="BU6" i="44"/>
  <c r="CT6" i="44" s="1"/>
  <c r="CU60" i="44"/>
  <c r="BQ43" i="44"/>
  <c r="CR45" i="44"/>
  <c r="CC51" i="44"/>
  <c r="DB51" i="44" s="1"/>
  <c r="DB50" i="44"/>
  <c r="DB71" i="44" s="1"/>
  <c r="AV28" i="26"/>
  <c r="Z4" i="35" s="1"/>
  <c r="Y4" i="35"/>
  <c r="CR6" i="44"/>
  <c r="BS8" i="44"/>
  <c r="BU36" i="44"/>
  <c r="CY45" i="44"/>
  <c r="DD26" i="44"/>
  <c r="CE28" i="44"/>
  <c r="BX43" i="44"/>
  <c r="CW55" i="44"/>
  <c r="V4" i="35"/>
  <c r="T4" i="35"/>
  <c r="X4" i="35"/>
  <c r="S4" i="35"/>
  <c r="U4" i="35"/>
  <c r="BT43" i="44"/>
  <c r="CB8" i="44"/>
  <c r="BV58" i="44"/>
  <c r="CD63" i="44"/>
  <c r="D35" i="41"/>
  <c r="BW51" i="44"/>
  <c r="CV51" i="44" s="1"/>
  <c r="CU45" i="44"/>
  <c r="DD42" i="44"/>
  <c r="CE43" i="44"/>
  <c r="BR58" i="44"/>
  <c r="DB31" i="44"/>
  <c r="CC33" i="44"/>
  <c r="AF33" i="26"/>
  <c r="AI48" i="26" s="1"/>
  <c r="AF27" i="26"/>
  <c r="AF26" i="26"/>
  <c r="BL82" i="26"/>
  <c r="DB21" i="44"/>
  <c r="CC23" i="44"/>
  <c r="CZ45" i="44"/>
  <c r="CZ35" i="44"/>
  <c r="BZ62" i="44"/>
  <c r="CY62" i="44" s="1"/>
  <c r="CZ40" i="44"/>
  <c r="BE28" i="26"/>
  <c r="CD47" i="44"/>
  <c r="DC47" i="44" s="1"/>
  <c r="DC45" i="44"/>
  <c r="AZ28" i="26"/>
  <c r="Z4" i="40" s="1"/>
  <c r="Y4" i="40"/>
  <c r="DA26" i="44"/>
  <c r="CB28" i="44"/>
  <c r="CO35" i="44"/>
  <c r="CO71" i="44" s="1"/>
  <c r="AR28" i="26"/>
  <c r="Z4" i="30" s="1"/>
  <c r="Y4" i="30"/>
  <c r="F8" i="39"/>
  <c r="F11" i="39" s="1"/>
  <c r="F20" i="39" s="1"/>
  <c r="F33" i="39" s="1"/>
  <c r="F35" i="39" s="1"/>
  <c r="G5" i="39"/>
  <c r="Y23" i="26"/>
  <c r="BE79" i="26"/>
  <c r="CW10" i="44"/>
  <c r="BK79" i="26"/>
  <c r="AE23" i="26"/>
  <c r="BZ22" i="26"/>
  <c r="AB58" i="44"/>
  <c r="CD57" i="26"/>
  <c r="BO99" i="26" s="1"/>
  <c r="AG27" i="26"/>
  <c r="AG33" i="26"/>
  <c r="AJ48" i="26" s="1"/>
  <c r="BM82" i="26"/>
  <c r="CB25" i="26"/>
  <c r="AG26" i="26"/>
  <c r="CB26" i="26" s="1"/>
  <c r="AF48" i="44" s="1"/>
  <c r="U4" i="39"/>
  <c r="V4" i="39"/>
  <c r="X4" i="39"/>
  <c r="T4" i="39"/>
  <c r="S4" i="39"/>
  <c r="CZ5" i="44"/>
  <c r="BW61" i="44"/>
  <c r="CV61" i="44" s="1"/>
  <c r="CV60" i="44"/>
  <c r="BH27" i="26"/>
  <c r="BH28" i="26" s="1"/>
  <c r="BY18" i="44"/>
  <c r="CX16" i="44"/>
  <c r="Z33" i="26"/>
  <c r="AB48" i="26" s="1"/>
  <c r="Z27" i="26"/>
  <c r="Z26" i="26"/>
  <c r="BU26" i="26" s="1"/>
  <c r="AF13" i="44" s="1"/>
  <c r="BF82" i="26"/>
  <c r="BU25" i="26"/>
  <c r="BQ52" i="44"/>
  <c r="CP52" i="44" s="1"/>
  <c r="CP50" i="44"/>
  <c r="CZ55" i="44"/>
  <c r="CT31" i="44"/>
  <c r="BU33" i="44"/>
  <c r="Y4" i="34"/>
  <c r="AU28" i="26"/>
  <c r="Z4" i="34" s="1"/>
  <c r="G27" i="42"/>
  <c r="CO62" i="44"/>
  <c r="CW45" i="44"/>
  <c r="Y4" i="33"/>
  <c r="AT28" i="26"/>
  <c r="Z4" i="33" s="1"/>
  <c r="Y4" i="39"/>
  <c r="AY28" i="26"/>
  <c r="Z4" i="39" s="1"/>
  <c r="BE82" i="26"/>
  <c r="Y33" i="26"/>
  <c r="AH48" i="26" s="1"/>
  <c r="Y26" i="26"/>
  <c r="BT26" i="26" s="1"/>
  <c r="AF8" i="44" s="1"/>
  <c r="Y27" i="26"/>
  <c r="BT25" i="26"/>
  <c r="BR53" i="44"/>
  <c r="X4" i="40"/>
  <c r="S4" i="40"/>
  <c r="V4" i="40"/>
  <c r="T4" i="40"/>
  <c r="U4" i="40"/>
  <c r="DC5" i="44"/>
  <c r="CY21" i="44"/>
  <c r="BZ23" i="44"/>
  <c r="CT50" i="44"/>
  <c r="BT22" i="26"/>
  <c r="BP37" i="44"/>
  <c r="AB33" i="26"/>
  <c r="AC48" i="26" s="1"/>
  <c r="AB27" i="26"/>
  <c r="AB26" i="26"/>
  <c r="BW26" i="26" s="1"/>
  <c r="AF23" i="44" s="1"/>
  <c r="BH82" i="26"/>
  <c r="BW25" i="26"/>
  <c r="AA8" i="44"/>
  <c r="BT56" i="26"/>
  <c r="BE98" i="26" s="1"/>
  <c r="BX11" i="44"/>
  <c r="CW11" i="44" s="1"/>
  <c r="DA55" i="44"/>
  <c r="DC40" i="44"/>
  <c r="G5" i="34"/>
  <c r="F8" i="34"/>
  <c r="F11" i="34" s="1"/>
  <c r="F20" i="34" s="1"/>
  <c r="F33" i="34" s="1"/>
  <c r="F35" i="34" s="1"/>
  <c r="BW56" i="26"/>
  <c r="BH98" i="26" s="1"/>
  <c r="AA23" i="44"/>
  <c r="DD21" i="44"/>
  <c r="CE23" i="44"/>
  <c r="CP55" i="44"/>
  <c r="CX31" i="44"/>
  <c r="BY33" i="44"/>
  <c r="CH20" i="44"/>
  <c r="DG20" i="44" s="1"/>
  <c r="BQ51" i="44"/>
  <c r="CP51" i="44" s="1"/>
  <c r="CZ10" i="44"/>
  <c r="BY28" i="44"/>
  <c r="CX26" i="44"/>
  <c r="CW21" i="44"/>
  <c r="BX23" i="44"/>
  <c r="AE33" i="26"/>
  <c r="AF48" i="26" s="1"/>
  <c r="AE27" i="26"/>
  <c r="BZ27" i="26" s="1"/>
  <c r="AG38" i="44" s="1"/>
  <c r="BK82" i="26"/>
  <c r="AE26" i="26"/>
  <c r="BZ26" i="26" s="1"/>
  <c r="AF38" i="44" s="1"/>
  <c r="S4" i="36"/>
  <c r="T4" i="36"/>
  <c r="V4" i="36"/>
  <c r="U4" i="36"/>
  <c r="X4" i="36"/>
  <c r="CP21" i="44"/>
  <c r="BQ23" i="44"/>
  <c r="DD16" i="44"/>
  <c r="CE18" i="44"/>
  <c r="CD33" i="44"/>
  <c r="DC31" i="44"/>
  <c r="Y4" i="38"/>
  <c r="AX28" i="26"/>
  <c r="Z4" i="38" s="1"/>
  <c r="CZ50" i="44"/>
  <c r="CU5" i="44"/>
  <c r="DD5" i="44"/>
  <c r="U4" i="33"/>
  <c r="V4" i="33"/>
  <c r="X4" i="33"/>
  <c r="T4" i="33"/>
  <c r="S4" i="33"/>
  <c r="DA21" i="44"/>
  <c r="CB23" i="44"/>
  <c r="CY5" i="44"/>
  <c r="CB37" i="44"/>
  <c r="DA37" i="44" s="1"/>
  <c r="DA35" i="44"/>
  <c r="BQ47" i="44"/>
  <c r="CP47" i="44" s="1"/>
  <c r="CA6" i="44"/>
  <c r="CZ6" i="44" s="1"/>
  <c r="CT21" i="44"/>
  <c r="BU23" i="44"/>
  <c r="CZ31" i="44"/>
  <c r="CA33" i="44"/>
  <c r="CW31" i="44"/>
  <c r="BX33" i="44"/>
  <c r="CS50" i="44"/>
  <c r="X4" i="28"/>
  <c r="T4" i="28"/>
  <c r="V4" i="28"/>
  <c r="U4" i="28"/>
  <c r="S4" i="28"/>
  <c r="CF31" i="44"/>
  <c r="CF32" i="44"/>
  <c r="DE32" i="44" s="1"/>
  <c r="CP16" i="44"/>
  <c r="BQ18" i="44"/>
  <c r="BZ52" i="44"/>
  <c r="CY52" i="44" s="1"/>
  <c r="CY50" i="44"/>
  <c r="AH23" i="26"/>
  <c r="BN79" i="26"/>
  <c r="CC22" i="26"/>
  <c r="AB23" i="44"/>
  <c r="CG22" i="44" s="1"/>
  <c r="DF22" i="44" s="1"/>
  <c r="BW57" i="26"/>
  <c r="BH99" i="26" s="1"/>
  <c r="I8" i="40"/>
  <c r="I11" i="40" s="1"/>
  <c r="I20" i="40" s="1"/>
  <c r="I33" i="40" s="1"/>
  <c r="J5" i="40"/>
  <c r="CV21" i="44"/>
  <c r="BW23" i="44"/>
  <c r="V4" i="34"/>
  <c r="U4" i="34"/>
  <c r="T4" i="34"/>
  <c r="X4" i="34"/>
  <c r="S4" i="34"/>
  <c r="CA23" i="44"/>
  <c r="CZ21" i="44"/>
  <c r="AH26" i="26"/>
  <c r="CC26" i="26" s="1"/>
  <c r="AF53" i="44" s="1"/>
  <c r="AH33" i="26"/>
  <c r="AG48" i="26" s="1"/>
  <c r="AH27" i="26"/>
  <c r="CC25" i="26"/>
  <c r="BN82" i="26"/>
  <c r="CS10" i="44"/>
  <c r="BY25" i="26"/>
  <c r="BJ82" i="26"/>
  <c r="AD33" i="26"/>
  <c r="Y48" i="26" s="1"/>
  <c r="AD27" i="26"/>
  <c r="BM79" i="26"/>
  <c r="AG23" i="26"/>
  <c r="CV16" i="44"/>
  <c r="BW18" i="44"/>
  <c r="CE56" i="26"/>
  <c r="BP98" i="26" s="1"/>
  <c r="AA63" i="44"/>
  <c r="CF60" i="44" s="1"/>
  <c r="CF62" i="44" s="1"/>
  <c r="DE62" i="44" s="1"/>
  <c r="V4" i="27"/>
  <c r="T4" i="27"/>
  <c r="U4" i="27"/>
  <c r="X4" i="27"/>
  <c r="S4" i="27"/>
  <c r="CR26" i="44"/>
  <c r="BS28" i="44"/>
  <c r="CR21" i="44"/>
  <c r="BS23" i="44"/>
  <c r="DC16" i="44"/>
  <c r="CD18" i="44"/>
  <c r="DB26" i="44"/>
  <c r="CC28" i="44"/>
  <c r="G5" i="41"/>
  <c r="F8" i="41"/>
  <c r="F11" i="41" s="1"/>
  <c r="F20" i="41" s="1"/>
  <c r="F33" i="41" s="1"/>
  <c r="F35" i="41" s="1"/>
  <c r="BT52" i="44"/>
  <c r="CS52" i="44" s="1"/>
  <c r="BP36" i="44"/>
  <c r="DB42" i="44"/>
  <c r="DB73" i="44" s="1"/>
  <c r="CC43" i="44"/>
  <c r="DC35" i="44"/>
  <c r="BR18" i="44"/>
  <c r="CQ16" i="44"/>
  <c r="AA38" i="44"/>
  <c r="BZ56" i="26"/>
  <c r="BK98" i="26" s="1"/>
  <c r="CC56" i="26"/>
  <c r="BN98" i="26" s="1"/>
  <c r="AA53" i="44"/>
  <c r="CQ31" i="44"/>
  <c r="BR33" i="44"/>
  <c r="Y4" i="36"/>
  <c r="AW28" i="26"/>
  <c r="Z4" i="36" s="1"/>
  <c r="BZ57" i="44"/>
  <c r="CY57" i="44" s="1"/>
  <c r="CY55" i="44"/>
  <c r="V4" i="38"/>
  <c r="S4" i="38"/>
  <c r="T4" i="38"/>
  <c r="X4" i="38"/>
  <c r="U4" i="38"/>
  <c r="BT11" i="44"/>
  <c r="CS11" i="44" s="1"/>
  <c r="BP63" i="44"/>
  <c r="CA7" i="44"/>
  <c r="CZ7" i="44" s="1"/>
  <c r="BX28" i="44"/>
  <c r="CW26" i="44"/>
  <c r="CG21" i="26"/>
  <c r="CH21" i="26" s="1"/>
  <c r="AL25" i="26"/>
  <c r="AM27" i="26" s="1"/>
  <c r="CE68" i="44"/>
  <c r="CU16" i="44"/>
  <c r="BV18" i="44"/>
  <c r="CD46" i="44"/>
  <c r="DC46" i="44" s="1"/>
  <c r="AJ33" i="26"/>
  <c r="AD48" i="26" s="1"/>
  <c r="BP82" i="26"/>
  <c r="AJ27" i="26"/>
  <c r="CE25" i="26"/>
  <c r="BP16" i="44"/>
  <c r="BP17" i="44"/>
  <c r="CB22" i="26"/>
  <c r="CB56" i="26"/>
  <c r="BM98" i="26" s="1"/>
  <c r="AA48" i="44"/>
  <c r="CF45" i="44" s="1"/>
  <c r="CF47" i="44" s="1"/>
  <c r="DE47" i="44" s="1"/>
  <c r="BD27" i="26"/>
  <c r="U4" i="30"/>
  <c r="S4" i="30"/>
  <c r="T4" i="30"/>
  <c r="X4" i="30"/>
  <c r="V4" i="30"/>
  <c r="BL27" i="26"/>
  <c r="AP28" i="26"/>
  <c r="Z4" i="28" s="1"/>
  <c r="Y4" i="28"/>
  <c r="BX12" i="44"/>
  <c r="CW12" i="44" s="1"/>
  <c r="DA45" i="44"/>
  <c r="CD36" i="44"/>
  <c r="DC36" i="44" s="1"/>
  <c r="CD28" i="44"/>
  <c r="DC26" i="44"/>
  <c r="G5" i="36"/>
  <c r="F8" i="36"/>
  <c r="F11" i="36" s="1"/>
  <c r="F20" i="36" s="1"/>
  <c r="F33" i="36" s="1"/>
  <c r="F35" i="36" s="1"/>
  <c r="CQ26" i="44"/>
  <c r="BR28" i="44"/>
  <c r="CB63" i="44"/>
  <c r="AB23" i="26"/>
  <c r="BH79" i="26"/>
  <c r="BF79" i="26"/>
  <c r="Z23" i="26"/>
  <c r="BU22" i="26"/>
  <c r="CQ5" i="44"/>
  <c r="CS5" i="44"/>
  <c r="BX18" i="44"/>
  <c r="CW16" i="44"/>
  <c r="DF20" i="44"/>
  <c r="BS13" i="44"/>
  <c r="CA57" i="44"/>
  <c r="CZ57" i="44" s="1"/>
  <c r="BX37" i="44"/>
  <c r="CW37" i="44" s="1"/>
  <c r="CW35" i="44"/>
  <c r="CE11" i="44"/>
  <c r="DD11" i="44" s="1"/>
  <c r="DD10" i="44"/>
  <c r="BJ79" i="26"/>
  <c r="AD23" i="26"/>
  <c r="BY22" i="26"/>
  <c r="CB11" i="44"/>
  <c r="DA11" i="44" s="1"/>
  <c r="DA10" i="44"/>
  <c r="BT12" i="44"/>
  <c r="CS12" i="44" s="1"/>
  <c r="CE61" i="44"/>
  <c r="DD61" i="44" s="1"/>
  <c r="DD60" i="44"/>
  <c r="CV31" i="44"/>
  <c r="BW33" i="44"/>
  <c r="BQ63" i="44"/>
  <c r="BV6" i="44"/>
  <c r="CU6" i="44" s="1"/>
  <c r="CQ60" i="44"/>
  <c r="CR57" i="44"/>
  <c r="BS58" i="44"/>
  <c r="DA52" i="44"/>
  <c r="CB53" i="44"/>
  <c r="BX47" i="44"/>
  <c r="CW47" i="44" s="1"/>
  <c r="DD50" i="44"/>
  <c r="AD26" i="26"/>
  <c r="BY26" i="26" s="1"/>
  <c r="AF33" i="44" s="1"/>
  <c r="BO82" i="26"/>
  <c r="AI26" i="26"/>
  <c r="AI33" i="26"/>
  <c r="AE48" i="26" s="1"/>
  <c r="AI27" i="26"/>
  <c r="BY58" i="44"/>
  <c r="K8" i="30"/>
  <c r="K11" i="30" s="1"/>
  <c r="K20" i="30" s="1"/>
  <c r="K33" i="30" s="1"/>
  <c r="K35" i="30" s="1"/>
  <c r="L5" i="30"/>
  <c r="BQ46" i="44"/>
  <c r="CT26" i="44"/>
  <c r="BU28" i="44"/>
  <c r="CE22" i="26"/>
  <c r="BP79" i="26"/>
  <c r="AJ23" i="26"/>
  <c r="DA31" i="44"/>
  <c r="CB33" i="44"/>
  <c r="CF55" i="44"/>
  <c r="CF57" i="44" s="1"/>
  <c r="DE57" i="44" s="1"/>
  <c r="BW62" i="44"/>
  <c r="CV62" i="44" s="1"/>
  <c r="AO28" i="26"/>
  <c r="Z4" i="27" s="1"/>
  <c r="Y4" i="27"/>
  <c r="CT5" i="44"/>
  <c r="F8" i="38"/>
  <c r="F11" i="38" s="1"/>
  <c r="F20" i="38" s="1"/>
  <c r="F33" i="38" s="1"/>
  <c r="F35" i="38" s="1"/>
  <c r="G5" i="38"/>
  <c r="BK26" i="26"/>
  <c r="BV60" i="26"/>
  <c r="BG102" i="26" s="1"/>
  <c r="AE18" i="44"/>
  <c r="AK26" i="26"/>
  <c r="CF26" i="26" s="1"/>
  <c r="AF68" i="44" s="1"/>
  <c r="BQ82" i="26"/>
  <c r="CF25" i="26"/>
  <c r="AK33" i="26"/>
  <c r="AK27" i="26"/>
  <c r="AC45" i="26"/>
  <c r="AC52" i="26" s="1"/>
  <c r="AS52" i="26" s="1"/>
  <c r="AC47" i="26"/>
  <c r="AC46" i="26"/>
  <c r="AC53" i="26" s="1"/>
  <c r="DG25" i="44"/>
  <c r="DF25" i="44"/>
  <c r="AA68" i="44"/>
  <c r="CF56" i="26"/>
  <c r="BQ98" i="26" s="1"/>
  <c r="DJ25" i="44"/>
  <c r="CI25" i="44"/>
  <c r="F8" i="35"/>
  <c r="F11" i="35" s="1"/>
  <c r="F20" i="35" s="1"/>
  <c r="F33" i="35" s="1"/>
  <c r="F35" i="35" s="1"/>
  <c r="G5" i="35"/>
  <c r="BV26" i="26"/>
  <c r="BZ60" i="26"/>
  <c r="BK102" i="26" s="1"/>
  <c r="AE38" i="44"/>
  <c r="DK30" i="44"/>
  <c r="BA28" i="26"/>
  <c r="Z4" i="41" s="1"/>
  <c r="Y4" i="41"/>
  <c r="AF47" i="26"/>
  <c r="AF46" i="26"/>
  <c r="AF53" i="26" s="1"/>
  <c r="AF45" i="26"/>
  <c r="AF52" i="26" s="1"/>
  <c r="AV52" i="26" s="1"/>
  <c r="AJ47" i="26"/>
  <c r="AJ45" i="26"/>
  <c r="AJ52" i="26" s="1"/>
  <c r="AZ52" i="26" s="1"/>
  <c r="AJ46" i="26"/>
  <c r="AJ53" i="26" s="1"/>
  <c r="AB47" i="26"/>
  <c r="AB46" i="26"/>
  <c r="AB53" i="26" s="1"/>
  <c r="AB45" i="26"/>
  <c r="AB52" i="26" s="1"/>
  <c r="AR52" i="26" s="1"/>
  <c r="G29" i="42"/>
  <c r="CO7" i="44"/>
  <c r="AK46" i="26"/>
  <c r="AK53" i="26" s="1"/>
  <c r="AK45" i="26"/>
  <c r="AK52" i="26" s="1"/>
  <c r="BA52" i="26" s="1"/>
  <c r="AK47" i="26"/>
  <c r="CQ21" i="44"/>
  <c r="BR23" i="44"/>
  <c r="AK23" i="26"/>
  <c r="CF22" i="26"/>
  <c r="BQ79" i="26"/>
  <c r="AL22" i="26"/>
  <c r="AA28" i="26"/>
  <c r="AA34" i="26"/>
  <c r="Z49" i="26" s="1"/>
  <c r="CO6" i="44"/>
  <c r="F29" i="42"/>
  <c r="DE10" i="44"/>
  <c r="AA45" i="26"/>
  <c r="AA52" i="26" s="1"/>
  <c r="AQ52" i="26" s="1"/>
  <c r="AA47" i="26"/>
  <c r="AA46" i="26"/>
  <c r="AA53" i="26" s="1"/>
  <c r="AA48" i="26"/>
  <c r="AI45" i="26"/>
  <c r="AI52" i="26" s="1"/>
  <c r="AY52" i="26" s="1"/>
  <c r="AI46" i="26"/>
  <c r="AI53" i="26" s="1"/>
  <c r="AI47" i="26"/>
  <c r="AD45" i="26"/>
  <c r="AD52" i="26" s="1"/>
  <c r="AT52" i="26" s="1"/>
  <c r="AD46" i="26"/>
  <c r="AD53" i="26" s="1"/>
  <c r="AD47" i="26"/>
  <c r="M8" i="28"/>
  <c r="M11" i="28" s="1"/>
  <c r="M20" i="28" s="1"/>
  <c r="M33" i="28" s="1"/>
  <c r="N5" i="28"/>
  <c r="BJ28" i="26"/>
  <c r="AH45" i="26"/>
  <c r="AH52" i="26" s="1"/>
  <c r="AX52" i="26" s="1"/>
  <c r="AH47" i="26"/>
  <c r="AH46" i="26"/>
  <c r="AH53" i="26" s="1"/>
  <c r="V4" i="41"/>
  <c r="X4" i="41"/>
  <c r="U4" i="41"/>
  <c r="T4" i="41"/>
  <c r="S4" i="41"/>
  <c r="AE45" i="26"/>
  <c r="AE52" i="26" s="1"/>
  <c r="AU52" i="26" s="1"/>
  <c r="AE47" i="26"/>
  <c r="AE46" i="26"/>
  <c r="AE53" i="26" s="1"/>
  <c r="Y45" i="26"/>
  <c r="Y52" i="26" s="1"/>
  <c r="AO52" i="26" s="1"/>
  <c r="Y46" i="26"/>
  <c r="Y53" i="26" s="1"/>
  <c r="Y47" i="26"/>
  <c r="AG47" i="26"/>
  <c r="AG46" i="26"/>
  <c r="AG53" i="26" s="1"/>
  <c r="AG45" i="26"/>
  <c r="AG52" i="26" s="1"/>
  <c r="AW52" i="26" s="1"/>
  <c r="Z48" i="26"/>
  <c r="Z46" i="26"/>
  <c r="Z53" i="26" s="1"/>
  <c r="Z45" i="26"/>
  <c r="Z52" i="26" s="1"/>
  <c r="AP52" i="26" s="1"/>
  <c r="Z47" i="26"/>
  <c r="BP8" i="44"/>
  <c r="F7" i="8"/>
  <c r="G51" i="8"/>
  <c r="K24" i="8"/>
  <c r="L42" i="8"/>
  <c r="J104" i="8"/>
  <c r="L33" i="8"/>
  <c r="G95" i="8"/>
  <c r="G113" i="8"/>
  <c r="G77" i="8"/>
  <c r="G60" i="8"/>
  <c r="G86" i="8"/>
  <c r="C17" i="8"/>
  <c r="G69" i="8"/>
  <c r="CY68" i="44" l="1"/>
  <c r="CZ68" i="44"/>
  <c r="DC68" i="44"/>
  <c r="DD68" i="44"/>
  <c r="CU68" i="44"/>
  <c r="CS68" i="44"/>
  <c r="CV68" i="44"/>
  <c r="BG80" i="26"/>
  <c r="CG16" i="44"/>
  <c r="CG18" i="44" s="1"/>
  <c r="BV57" i="26"/>
  <c r="BG99" i="26" s="1"/>
  <c r="CQ67" i="44"/>
  <c r="BS48" i="44"/>
  <c r="BV63" i="44"/>
  <c r="CF16" i="44"/>
  <c r="CF18" i="44" s="1"/>
  <c r="AC28" i="26"/>
  <c r="AC35" i="26" s="1"/>
  <c r="AA50" i="26" s="1"/>
  <c r="AA57" i="26" s="1"/>
  <c r="BV24" i="26"/>
  <c r="BV59" i="26" s="1"/>
  <c r="BG101" i="26" s="1"/>
  <c r="AS34" i="26"/>
  <c r="CA23" i="26"/>
  <c r="CA58" i="26" s="1"/>
  <c r="BL100" i="26" s="1"/>
  <c r="BV23" i="26"/>
  <c r="BV58" i="26" s="1"/>
  <c r="BG100" i="26" s="1"/>
  <c r="G5" i="27"/>
  <c r="G6" i="27" s="1"/>
  <c r="AF24" i="26"/>
  <c r="CA57" i="26"/>
  <c r="BL99" i="26" s="1"/>
  <c r="BU43" i="44"/>
  <c r="CE8" i="44"/>
  <c r="DE40" i="44"/>
  <c r="BQ58" i="44"/>
  <c r="CL20" i="44"/>
  <c r="DK20" i="44" s="1"/>
  <c r="BX57" i="26"/>
  <c r="BI99" i="26" s="1"/>
  <c r="AC34" i="26"/>
  <c r="AA49" i="26" s="1"/>
  <c r="AA56" i="26" s="1"/>
  <c r="BR68" i="44"/>
  <c r="I35" i="40"/>
  <c r="F8" i="27"/>
  <c r="F11" i="27" s="1"/>
  <c r="F20" i="27" s="1"/>
  <c r="F33" i="27" s="1"/>
  <c r="F35" i="27" s="1"/>
  <c r="CA13" i="44"/>
  <c r="CF41" i="44"/>
  <c r="DE41" i="44" s="1"/>
  <c r="DA67" i="44"/>
  <c r="CK27" i="44"/>
  <c r="DJ27" i="44" s="1"/>
  <c r="BQ24" i="26"/>
  <c r="H5" i="33"/>
  <c r="H8" i="33" s="1"/>
  <c r="H11" i="33" s="1"/>
  <c r="H20" i="33" s="1"/>
  <c r="H33" i="33" s="1"/>
  <c r="H35" i="33" s="1"/>
  <c r="CA53" i="44"/>
  <c r="CP67" i="44"/>
  <c r="CA48" i="44"/>
  <c r="AM25" i="26"/>
  <c r="CE53" i="44"/>
  <c r="CU73" i="44"/>
  <c r="CX71" i="44"/>
  <c r="CF27" i="44"/>
  <c r="DE27" i="44" s="1"/>
  <c r="DC73" i="44"/>
  <c r="CA43" i="44"/>
  <c r="CT73" i="44"/>
  <c r="M35" i="28"/>
  <c r="BZ8" i="44"/>
  <c r="CD8" i="44"/>
  <c r="CA38" i="44"/>
  <c r="CV73" i="44"/>
  <c r="DD73" i="44"/>
  <c r="CR73" i="44"/>
  <c r="BZ48" i="44"/>
  <c r="CL25" i="44"/>
  <c r="DK25" i="44" s="1"/>
  <c r="M5" i="32"/>
  <c r="M8" i="32" s="1"/>
  <c r="M11" i="32" s="1"/>
  <c r="M20" i="32" s="1"/>
  <c r="M33" i="32" s="1"/>
  <c r="M35" i="32" s="1"/>
  <c r="AI24" i="26"/>
  <c r="CD24" i="26" s="1"/>
  <c r="CS72" i="44"/>
  <c r="BS38" i="44"/>
  <c r="CD23" i="26"/>
  <c r="CV56" i="44"/>
  <c r="CV72" i="44" s="1"/>
  <c r="BW58" i="44"/>
  <c r="BV43" i="44"/>
  <c r="BI80" i="26"/>
  <c r="AC24" i="26"/>
  <c r="BX23" i="26"/>
  <c r="CB48" i="44"/>
  <c r="CB58" i="44"/>
  <c r="AZ34" i="26"/>
  <c r="BP23" i="44"/>
  <c r="CO21" i="44"/>
  <c r="F23" i="42"/>
  <c r="CL15" i="44"/>
  <c r="DK15" i="44" s="1"/>
  <c r="BF28" i="26"/>
  <c r="CM15" i="44" s="1"/>
  <c r="DL15" i="44" s="1"/>
  <c r="BX60" i="26"/>
  <c r="BI102" i="26" s="1"/>
  <c r="BT8" i="44"/>
  <c r="CY72" i="44"/>
  <c r="G23" i="42"/>
  <c r="CO22" i="44"/>
  <c r="BY63" i="44"/>
  <c r="CU71" i="44"/>
  <c r="BU8" i="44"/>
  <c r="DB72" i="44"/>
  <c r="DB74" i="44" s="1"/>
  <c r="BU53" i="44"/>
  <c r="AE43" i="44"/>
  <c r="CJ40" i="44" s="1"/>
  <c r="CJ41" i="44" s="1"/>
  <c r="DI41" i="44" s="1"/>
  <c r="CD25" i="26"/>
  <c r="AE58" i="44" s="1"/>
  <c r="BQ25" i="26"/>
  <c r="BN27" i="26"/>
  <c r="CD27" i="26" s="1"/>
  <c r="AG58" i="44" s="1"/>
  <c r="Y55" i="26"/>
  <c r="CB68" i="44"/>
  <c r="BY38" i="44"/>
  <c r="BQ68" i="44"/>
  <c r="AD54" i="26"/>
  <c r="AT53" i="26" s="1"/>
  <c r="CF13" i="44"/>
  <c r="BA34" i="26"/>
  <c r="CG42" i="44"/>
  <c r="DF42" i="44" s="1"/>
  <c r="CT71" i="44"/>
  <c r="BR8" i="44"/>
  <c r="CD43" i="44"/>
  <c r="CA58" i="44"/>
  <c r="CA68" i="44"/>
  <c r="CY73" i="44"/>
  <c r="Z56" i="26"/>
  <c r="DD72" i="44"/>
  <c r="AW34" i="26"/>
  <c r="BT13" i="44"/>
  <c r="AG55" i="26"/>
  <c r="BN26" i="26"/>
  <c r="BQ26" i="26" s="1"/>
  <c r="AT34" i="26"/>
  <c r="CP71" i="44"/>
  <c r="BV48" i="44"/>
  <c r="CR71" i="44"/>
  <c r="K8" i="29"/>
  <c r="K11" i="29" s="1"/>
  <c r="K20" i="29" s="1"/>
  <c r="K33" i="29" s="1"/>
  <c r="K35" i="29" s="1"/>
  <c r="L5" i="29"/>
  <c r="CM25" i="44"/>
  <c r="CD38" i="44"/>
  <c r="CR72" i="44"/>
  <c r="CZ72" i="44"/>
  <c r="CC53" i="44"/>
  <c r="CO32" i="44"/>
  <c r="G25" i="42"/>
  <c r="BX27" i="26"/>
  <c r="AG28" i="44" s="1"/>
  <c r="CN30" i="44"/>
  <c r="D10" i="42" s="1"/>
  <c r="CU72" i="44"/>
  <c r="CE13" i="44"/>
  <c r="BX38" i="44"/>
  <c r="CQ71" i="44"/>
  <c r="AD55" i="26"/>
  <c r="CZ73" i="44"/>
  <c r="BZ58" i="44"/>
  <c r="BZ53" i="44"/>
  <c r="CX72" i="44"/>
  <c r="CV71" i="44"/>
  <c r="DC71" i="44"/>
  <c r="AF28" i="26"/>
  <c r="AF35" i="26" s="1"/>
  <c r="AI50" i="26" s="1"/>
  <c r="AI57" i="26" s="1"/>
  <c r="AF34" i="26"/>
  <c r="AI49" i="26" s="1"/>
  <c r="AI56" i="26" s="1"/>
  <c r="AV34" i="26"/>
  <c r="DC72" i="44"/>
  <c r="DA71" i="44"/>
  <c r="DD71" i="44"/>
  <c r="AR34" i="26"/>
  <c r="BU38" i="44"/>
  <c r="CT36" i="44"/>
  <c r="CT72" i="44" s="1"/>
  <c r="BZ63" i="44"/>
  <c r="Y54" i="26"/>
  <c r="AO53" i="26" s="1"/>
  <c r="BR63" i="44"/>
  <c r="CG21" i="44"/>
  <c r="CS71" i="44"/>
  <c r="BV8" i="44"/>
  <c r="BX48" i="44"/>
  <c r="AU34" i="26"/>
  <c r="BX58" i="44"/>
  <c r="CO31" i="44"/>
  <c r="F25" i="42"/>
  <c r="BP33" i="44"/>
  <c r="BW53" i="44"/>
  <c r="CA27" i="26"/>
  <c r="AG43" i="44" s="1"/>
  <c r="CE57" i="26"/>
  <c r="BP99" i="26" s="1"/>
  <c r="AB63" i="44"/>
  <c r="F24" i="42"/>
  <c r="CO16" i="44"/>
  <c r="BP18" i="44"/>
  <c r="CF35" i="44"/>
  <c r="BT53" i="44"/>
  <c r="CF5" i="44"/>
  <c r="CF6" i="44" s="1"/>
  <c r="DE6" i="44" s="1"/>
  <c r="CK62" i="44"/>
  <c r="DJ62" i="44" s="1"/>
  <c r="DJ60" i="44"/>
  <c r="AL33" i="26"/>
  <c r="H5" i="38"/>
  <c r="G8" i="38"/>
  <c r="G11" i="38" s="1"/>
  <c r="G20" i="38" s="1"/>
  <c r="G33" i="38" s="1"/>
  <c r="G35" i="38" s="1"/>
  <c r="DA72" i="44"/>
  <c r="CS73" i="44"/>
  <c r="AB33" i="44"/>
  <c r="BY57" i="26"/>
  <c r="BJ99" i="26" s="1"/>
  <c r="AB13" i="44"/>
  <c r="BU57" i="26"/>
  <c r="BF99" i="26" s="1"/>
  <c r="AB24" i="26"/>
  <c r="BH80" i="26"/>
  <c r="BL28" i="26"/>
  <c r="CB27" i="26"/>
  <c r="AG48" i="44" s="1"/>
  <c r="CE60" i="26"/>
  <c r="BP102" i="26" s="1"/>
  <c r="AE63" i="44"/>
  <c r="CF50" i="44"/>
  <c r="CF52" i="44" s="1"/>
  <c r="DE52" i="44" s="1"/>
  <c r="AG24" i="26"/>
  <c r="BM80" i="26"/>
  <c r="CB23" i="26"/>
  <c r="H5" i="34"/>
  <c r="G8" i="34"/>
  <c r="G11" i="34" s="1"/>
  <c r="G20" i="34" s="1"/>
  <c r="G33" i="34" s="1"/>
  <c r="G35" i="34" s="1"/>
  <c r="AE23" i="44"/>
  <c r="BW60" i="26"/>
  <c r="BH102" i="26" s="1"/>
  <c r="CD48" i="44"/>
  <c r="CF46" i="44"/>
  <c r="DE46" i="44" s="1"/>
  <c r="DE45" i="44"/>
  <c r="CF61" i="44"/>
  <c r="DE61" i="44" s="1"/>
  <c r="DE60" i="44"/>
  <c r="AO34" i="26"/>
  <c r="CE23" i="26"/>
  <c r="BP80" i="26"/>
  <c r="AJ24" i="26"/>
  <c r="CE63" i="44"/>
  <c r="CB13" i="44"/>
  <c r="BJ80" i="26"/>
  <c r="AD24" i="26"/>
  <c r="BY23" i="26"/>
  <c r="BF80" i="26"/>
  <c r="Z24" i="26"/>
  <c r="BU23" i="26"/>
  <c r="H5" i="36"/>
  <c r="G8" i="36"/>
  <c r="G11" i="36" s="1"/>
  <c r="G20" i="36" s="1"/>
  <c r="G33" i="36" s="1"/>
  <c r="G35" i="36" s="1"/>
  <c r="BT27" i="26"/>
  <c r="AG8" i="44" s="1"/>
  <c r="BD28" i="26"/>
  <c r="AB48" i="44"/>
  <c r="CB57" i="26"/>
  <c r="BM99" i="26" s="1"/>
  <c r="AJ34" i="26"/>
  <c r="AD49" i="26" s="1"/>
  <c r="AD56" i="26" s="1"/>
  <c r="AJ28" i="26"/>
  <c r="CE27" i="26"/>
  <c r="AG63" i="44" s="1"/>
  <c r="H5" i="41"/>
  <c r="G8" i="41"/>
  <c r="G11" i="41" s="1"/>
  <c r="G20" i="41" s="1"/>
  <c r="G33" i="41" s="1"/>
  <c r="G35" i="41" s="1"/>
  <c r="BY60" i="26"/>
  <c r="BJ102" i="26" s="1"/>
  <c r="AE33" i="44"/>
  <c r="CC60" i="26"/>
  <c r="BN102" i="26" s="1"/>
  <c r="AE53" i="44"/>
  <c r="AX34" i="26"/>
  <c r="BW23" i="26"/>
  <c r="CF21" i="44"/>
  <c r="CF22" i="44"/>
  <c r="DE22" i="44" s="1"/>
  <c r="CW72" i="44"/>
  <c r="G26" i="42"/>
  <c r="CO37" i="44"/>
  <c r="Y34" i="26"/>
  <c r="AH49" i="26" s="1"/>
  <c r="AH56" i="26" s="1"/>
  <c r="Y28" i="26"/>
  <c r="Y35" i="26" s="1"/>
  <c r="AH50" i="26" s="1"/>
  <c r="AH57" i="26" s="1"/>
  <c r="AY34" i="26"/>
  <c r="Z28" i="26"/>
  <c r="Z35" i="26" s="1"/>
  <c r="AB50" i="26" s="1"/>
  <c r="AB57" i="26" s="1"/>
  <c r="Z34" i="26"/>
  <c r="AB49" i="26" s="1"/>
  <c r="AB56" i="26" s="1"/>
  <c r="CK45" i="44"/>
  <c r="CK46" i="44" s="1"/>
  <c r="DJ46" i="44" s="1"/>
  <c r="AG34" i="26"/>
  <c r="AJ49" i="26" s="1"/>
  <c r="AJ56" i="26" s="1"/>
  <c r="AG28" i="26"/>
  <c r="AG35" i="26" s="1"/>
  <c r="AJ50" i="26" s="1"/>
  <c r="AJ57" i="26" s="1"/>
  <c r="BX13" i="44"/>
  <c r="H5" i="39"/>
  <c r="G8" i="39"/>
  <c r="G11" i="39" s="1"/>
  <c r="G20" i="39" s="1"/>
  <c r="G33" i="39" s="1"/>
  <c r="G35" i="39" s="1"/>
  <c r="BU27" i="26"/>
  <c r="AG13" i="44" s="1"/>
  <c r="BK28" i="26"/>
  <c r="CA26" i="26"/>
  <c r="AF43" i="44" s="1"/>
  <c r="L8" i="30"/>
  <c r="L11" i="30" s="1"/>
  <c r="L20" i="30" s="1"/>
  <c r="L33" i="30" s="1"/>
  <c r="L35" i="30" s="1"/>
  <c r="M5" i="30"/>
  <c r="AB28" i="26"/>
  <c r="AB35" i="26" s="1"/>
  <c r="AC50" i="26" s="1"/>
  <c r="AC57" i="26" s="1"/>
  <c r="AB34" i="26"/>
  <c r="AC49" i="26" s="1"/>
  <c r="AC56" i="26" s="1"/>
  <c r="CZ71" i="44"/>
  <c r="CG55" i="44"/>
  <c r="CG56" i="44" s="1"/>
  <c r="DF56" i="44" s="1"/>
  <c r="AE24" i="26"/>
  <c r="BK80" i="26"/>
  <c r="BZ23" i="26"/>
  <c r="CL35" i="44"/>
  <c r="CL36" i="44" s="1"/>
  <c r="DK36" i="44" s="1"/>
  <c r="AL27" i="26"/>
  <c r="AL26" i="26"/>
  <c r="DE55" i="44"/>
  <c r="CW73" i="44"/>
  <c r="CK50" i="44"/>
  <c r="AH24" i="26"/>
  <c r="BN80" i="26"/>
  <c r="CC23" i="26"/>
  <c r="DE31" i="44"/>
  <c r="CF33" i="44"/>
  <c r="AE34" i="26"/>
  <c r="AF49" i="26" s="1"/>
  <c r="AF56" i="26" s="1"/>
  <c r="AE28" i="26"/>
  <c r="AE35" i="26" s="1"/>
  <c r="AF50" i="26" s="1"/>
  <c r="AF57" i="26" s="1"/>
  <c r="AE8" i="44"/>
  <c r="BT60" i="26"/>
  <c r="BE102" i="26" s="1"/>
  <c r="CK10" i="44"/>
  <c r="BE80" i="26"/>
  <c r="Y24" i="26"/>
  <c r="BW27" i="26"/>
  <c r="AG23" i="44" s="1"/>
  <c r="AK48" i="26"/>
  <c r="AK55" i="26" s="1"/>
  <c r="CF56" i="44"/>
  <c r="DE56" i="44" s="1"/>
  <c r="BQ48" i="44"/>
  <c r="CP46" i="44"/>
  <c r="CP72" i="44" s="1"/>
  <c r="AI34" i="26"/>
  <c r="AE49" i="26" s="1"/>
  <c r="AE56" i="26" s="1"/>
  <c r="AI28" i="26"/>
  <c r="AI35" i="26" s="1"/>
  <c r="AE50" i="26" s="1"/>
  <c r="AE57" i="26" s="1"/>
  <c r="CK32" i="44"/>
  <c r="DJ32" i="44" s="1"/>
  <c r="CK31" i="44"/>
  <c r="AP34" i="26"/>
  <c r="BT23" i="26"/>
  <c r="CO17" i="44"/>
  <c r="G24" i="42"/>
  <c r="CO36" i="44"/>
  <c r="F26" i="42"/>
  <c r="AD34" i="26"/>
  <c r="Y49" i="26" s="1"/>
  <c r="Y56" i="26" s="1"/>
  <c r="AD28" i="26"/>
  <c r="BY27" i="26"/>
  <c r="AG33" i="44" s="1"/>
  <c r="CC27" i="26"/>
  <c r="AG53" i="44" s="1"/>
  <c r="AH34" i="26"/>
  <c r="AG49" i="26" s="1"/>
  <c r="AG56" i="26" s="1"/>
  <c r="AH28" i="26"/>
  <c r="K5" i="40"/>
  <c r="J8" i="40"/>
  <c r="J11" i="40" s="1"/>
  <c r="J20" i="40" s="1"/>
  <c r="J33" i="40" s="1"/>
  <c r="J35" i="40" s="1"/>
  <c r="CC57" i="26"/>
  <c r="BN99" i="26" s="1"/>
  <c r="AB53" i="44"/>
  <c r="CB38" i="44"/>
  <c r="CY71" i="44"/>
  <c r="CK35" i="44"/>
  <c r="CK36" i="44" s="1"/>
  <c r="DJ36" i="44" s="1"/>
  <c r="CK21" i="44"/>
  <c r="CK22" i="44"/>
  <c r="DJ22" i="44" s="1"/>
  <c r="AB8" i="44"/>
  <c r="BT57" i="26"/>
  <c r="BE99" i="26" s="1"/>
  <c r="CK5" i="44"/>
  <c r="BQ53" i="44"/>
  <c r="BU60" i="26"/>
  <c r="BF102" i="26" s="1"/>
  <c r="AE13" i="44"/>
  <c r="CK61" i="44"/>
  <c r="DJ61" i="44" s="1"/>
  <c r="BW63" i="44"/>
  <c r="CA8" i="44"/>
  <c r="AE48" i="44"/>
  <c r="CB60" i="26"/>
  <c r="BM102" i="26" s="1"/>
  <c r="BZ57" i="26"/>
  <c r="BK99" i="26" s="1"/>
  <c r="AB38" i="44"/>
  <c r="CW71" i="44"/>
  <c r="BP38" i="44"/>
  <c r="AG18" i="44"/>
  <c r="AE55" i="26"/>
  <c r="CQ72" i="44"/>
  <c r="AJ55" i="26"/>
  <c r="DE26" i="44"/>
  <c r="CG27" i="44"/>
  <c r="DF27" i="44" s="1"/>
  <c r="CG26" i="44"/>
  <c r="CJ27" i="44"/>
  <c r="DI27" i="44" s="1"/>
  <c r="CJ26" i="44"/>
  <c r="AE54" i="26"/>
  <c r="AU53" i="26" s="1"/>
  <c r="Z54" i="26"/>
  <c r="AP53" i="26" s="1"/>
  <c r="Z55" i="26"/>
  <c r="AI55" i="26"/>
  <c r="AA54" i="26"/>
  <c r="AQ53" i="26" s="1"/>
  <c r="AG54" i="26"/>
  <c r="AW53" i="26" s="1"/>
  <c r="AH55" i="26"/>
  <c r="AI54" i="26"/>
  <c r="AY53" i="26" s="1"/>
  <c r="AA55" i="26"/>
  <c r="AA35" i="26"/>
  <c r="AK54" i="26"/>
  <c r="BA53" i="26" s="1"/>
  <c r="AB54" i="26"/>
  <c r="AR53" i="26" s="1"/>
  <c r="AJ54" i="26"/>
  <c r="AZ53" i="26" s="1"/>
  <c r="AF55" i="26"/>
  <c r="AF54" i="26"/>
  <c r="AV53" i="26" s="1"/>
  <c r="DF40" i="44"/>
  <c r="G8" i="35"/>
  <c r="G11" i="35" s="1"/>
  <c r="G20" i="35" s="1"/>
  <c r="G33" i="35" s="1"/>
  <c r="G35" i="35" s="1"/>
  <c r="H5" i="35"/>
  <c r="AC55" i="26"/>
  <c r="AK34" i="26"/>
  <c r="AK49" i="26" s="1"/>
  <c r="AK56" i="26" s="1"/>
  <c r="AK28" i="26"/>
  <c r="CF27" i="26"/>
  <c r="AG68" i="44" s="1"/>
  <c r="CK65" i="44"/>
  <c r="CK67" i="44" s="1"/>
  <c r="DJ67" i="44" s="1"/>
  <c r="N8" i="28"/>
  <c r="N11" i="28" s="1"/>
  <c r="N20" i="28" s="1"/>
  <c r="N33" i="28" s="1"/>
  <c r="N35" i="28" s="1"/>
  <c r="O5" i="28"/>
  <c r="AF18" i="44"/>
  <c r="AH54" i="26"/>
  <c r="AX53" i="26" s="1"/>
  <c r="CM20" i="44"/>
  <c r="CF57" i="26"/>
  <c r="BQ99" i="26" s="1"/>
  <c r="AB68" i="44"/>
  <c r="CG22" i="26"/>
  <c r="CH22" i="26" s="1"/>
  <c r="AB55" i="26"/>
  <c r="CJ35" i="44"/>
  <c r="CJ37" i="44" s="1"/>
  <c r="DI37" i="44" s="1"/>
  <c r="DH25" i="44"/>
  <c r="CF60" i="26"/>
  <c r="BQ102" i="26" s="1"/>
  <c r="AE68" i="44"/>
  <c r="CJ17" i="44"/>
  <c r="DI17" i="44" s="1"/>
  <c r="CJ16" i="44"/>
  <c r="BQ80" i="26"/>
  <c r="CF23" i="26"/>
  <c r="AK24" i="26"/>
  <c r="AL23" i="26"/>
  <c r="CF65" i="44"/>
  <c r="AC54" i="26"/>
  <c r="AS53" i="26" s="1"/>
  <c r="G7" i="8"/>
  <c r="H51" i="8"/>
  <c r="M42" i="8"/>
  <c r="L24" i="8"/>
  <c r="H95" i="8"/>
  <c r="K104" i="8"/>
  <c r="H86" i="8"/>
  <c r="H60" i="8"/>
  <c r="H77" i="8"/>
  <c r="H113" i="8"/>
  <c r="M33" i="8"/>
  <c r="D17" i="8"/>
  <c r="H69" i="8"/>
  <c r="DF16" i="44" l="1"/>
  <c r="DA73" i="44"/>
  <c r="DA74" i="44" s="1"/>
  <c r="CP73" i="44"/>
  <c r="CP74" i="44" s="1"/>
  <c r="CQ73" i="44"/>
  <c r="CQ74" i="44" s="1"/>
  <c r="DA68" i="44"/>
  <c r="CQ68" i="44"/>
  <c r="CP68" i="44"/>
  <c r="H5" i="27"/>
  <c r="H8" i="27" s="1"/>
  <c r="H11" i="27" s="1"/>
  <c r="H20" i="27" s="1"/>
  <c r="H33" i="27" s="1"/>
  <c r="AD18" i="44"/>
  <c r="CI17" i="44" s="1"/>
  <c r="DH17" i="44" s="1"/>
  <c r="DE16" i="44"/>
  <c r="CX74" i="44"/>
  <c r="AC18" i="44"/>
  <c r="CH16" i="44" s="1"/>
  <c r="DG16" i="44" s="1"/>
  <c r="BX28" i="26"/>
  <c r="AH28" i="44" s="1"/>
  <c r="CM26" i="44" s="1"/>
  <c r="DL26" i="44" s="1"/>
  <c r="AC43" i="44"/>
  <c r="CH40" i="44" s="1"/>
  <c r="CH42" i="44" s="1"/>
  <c r="DG42" i="44" s="1"/>
  <c r="G8" i="27"/>
  <c r="G11" i="27" s="1"/>
  <c r="G20" i="27" s="1"/>
  <c r="G33" i="27" s="1"/>
  <c r="G35" i="27" s="1"/>
  <c r="BL81" i="26"/>
  <c r="CA24" i="26"/>
  <c r="CL22" i="44"/>
  <c r="DK22" i="44" s="1"/>
  <c r="I5" i="33"/>
  <c r="I8" i="33" s="1"/>
  <c r="I11" i="33" s="1"/>
  <c r="I20" i="33" s="1"/>
  <c r="I33" i="33" s="1"/>
  <c r="I35" i="33" s="1"/>
  <c r="CY74" i="44"/>
  <c r="CK28" i="44"/>
  <c r="DI40" i="44"/>
  <c r="N5" i="32"/>
  <c r="O5" i="32" s="1"/>
  <c r="BO81" i="26"/>
  <c r="CN15" i="44"/>
  <c r="D9" i="42" s="1"/>
  <c r="CF43" i="44"/>
  <c r="CD26" i="26"/>
  <c r="AF58" i="44" s="1"/>
  <c r="CK55" i="44" s="1"/>
  <c r="CK56" i="44" s="1"/>
  <c r="CJ42" i="44"/>
  <c r="DI42" i="44" s="1"/>
  <c r="CL26" i="44"/>
  <c r="DK26" i="44" s="1"/>
  <c r="CF28" i="44"/>
  <c r="CG25" i="26"/>
  <c r="DC74" i="44"/>
  <c r="CV74" i="44"/>
  <c r="CL21" i="44"/>
  <c r="DK21" i="44" s="1"/>
  <c r="AT54" i="26"/>
  <c r="AV55" i="26"/>
  <c r="AC28" i="44"/>
  <c r="BX58" i="26"/>
  <c r="BI100" i="26" s="1"/>
  <c r="CF63" i="44"/>
  <c r="CL27" i="44"/>
  <c r="DK27" i="44" s="1"/>
  <c r="AZ55" i="26"/>
  <c r="CK63" i="44"/>
  <c r="CU74" i="44"/>
  <c r="BI81" i="26"/>
  <c r="BX24" i="26"/>
  <c r="BQ27" i="26"/>
  <c r="AY55" i="26"/>
  <c r="CR74" i="44"/>
  <c r="DD74" i="44"/>
  <c r="AO54" i="26"/>
  <c r="BV28" i="26"/>
  <c r="AH18" i="44" s="1"/>
  <c r="CM16" i="44" s="1"/>
  <c r="CD58" i="26"/>
  <c r="BO100" i="26" s="1"/>
  <c r="AC58" i="44"/>
  <c r="CH55" i="44" s="1"/>
  <c r="CH57" i="44" s="1"/>
  <c r="DG57" i="44" s="1"/>
  <c r="CF66" i="44"/>
  <c r="DE66" i="44" s="1"/>
  <c r="CD60" i="26"/>
  <c r="BO102" i="26" s="1"/>
  <c r="CS74" i="44"/>
  <c r="AQ54" i="26"/>
  <c r="DK35" i="44"/>
  <c r="CO72" i="44"/>
  <c r="CO73" i="44"/>
  <c r="CA28" i="26"/>
  <c r="AH43" i="44" s="1"/>
  <c r="CM40" i="44" s="1"/>
  <c r="CM41" i="44" s="1"/>
  <c r="DL41" i="44" s="1"/>
  <c r="M5" i="29"/>
  <c r="L8" i="29"/>
  <c r="L11" i="29" s="1"/>
  <c r="L20" i="29" s="1"/>
  <c r="L33" i="29" s="1"/>
  <c r="L35" i="29" s="1"/>
  <c r="BA54" i="26"/>
  <c r="BN28" i="26"/>
  <c r="BQ28" i="26" s="1"/>
  <c r="AR54" i="26"/>
  <c r="CJ36" i="44"/>
  <c r="DI36" i="44" s="1"/>
  <c r="CG43" i="44"/>
  <c r="CF48" i="44"/>
  <c r="BU28" i="26"/>
  <c r="AH13" i="44" s="1"/>
  <c r="CM10" i="44" s="1"/>
  <c r="CM12" i="44" s="1"/>
  <c r="DL12" i="44" s="1"/>
  <c r="AU55" i="26"/>
  <c r="CT74" i="44"/>
  <c r="DL25" i="44"/>
  <c r="CN25" i="44" s="1"/>
  <c r="D15" i="42" s="1"/>
  <c r="AS55" i="26"/>
  <c r="CK47" i="44"/>
  <c r="DJ47" i="44" s="1"/>
  <c r="CZ74" i="44"/>
  <c r="AX55" i="26"/>
  <c r="CL40" i="44"/>
  <c r="CL41" i="44" s="1"/>
  <c r="DK41" i="44" s="1"/>
  <c r="DF21" i="44"/>
  <c r="CG23" i="44"/>
  <c r="CJ45" i="44"/>
  <c r="CJ46" i="44" s="1"/>
  <c r="DI46" i="44" s="1"/>
  <c r="DJ31" i="44"/>
  <c r="CK33" i="44"/>
  <c r="DJ10" i="44"/>
  <c r="DJ50" i="44"/>
  <c r="BZ58" i="26"/>
  <c r="BK100" i="26" s="1"/>
  <c r="AC38" i="44"/>
  <c r="CK40" i="44"/>
  <c r="CK41" i="44" s="1"/>
  <c r="DJ41" i="44" s="1"/>
  <c r="CW74" i="44"/>
  <c r="BF81" i="26"/>
  <c r="BU24" i="26"/>
  <c r="CJ21" i="44"/>
  <c r="CJ22" i="44"/>
  <c r="DI22" i="44" s="1"/>
  <c r="AC48" i="44"/>
  <c r="CB58" i="26"/>
  <c r="BM100" i="26" s="1"/>
  <c r="BN81" i="26"/>
  <c r="CC24" i="26"/>
  <c r="DF55" i="44"/>
  <c r="CL10" i="44"/>
  <c r="CL12" i="44" s="1"/>
  <c r="DK12" i="44" s="1"/>
  <c r="CJ50" i="44"/>
  <c r="CJ52" i="44" s="1"/>
  <c r="DI52" i="44" s="1"/>
  <c r="CG45" i="44"/>
  <c r="CG32" i="44"/>
  <c r="DF32" i="44" s="1"/>
  <c r="CG31" i="44"/>
  <c r="DE5" i="44"/>
  <c r="DE35" i="44"/>
  <c r="DJ35" i="44"/>
  <c r="CL50" i="44"/>
  <c r="BT58" i="26"/>
  <c r="BE100" i="26" s="1"/>
  <c r="AC8" i="44"/>
  <c r="CK11" i="44"/>
  <c r="DJ11" i="44" s="1"/>
  <c r="CJ5" i="44"/>
  <c r="CJ6" i="44" s="1"/>
  <c r="DI6" i="44" s="1"/>
  <c r="CK52" i="44"/>
  <c r="DJ52" i="44" s="1"/>
  <c r="BK81" i="26"/>
  <c r="BZ24" i="26"/>
  <c r="N5" i="30"/>
  <c r="M8" i="30"/>
  <c r="M11" i="30" s="1"/>
  <c r="M20" i="30" s="1"/>
  <c r="M33" i="30" s="1"/>
  <c r="M35" i="30" s="1"/>
  <c r="CJ55" i="44"/>
  <c r="CJ57" i="44" s="1"/>
  <c r="DI57" i="44" s="1"/>
  <c r="DE21" i="44"/>
  <c r="CF23" i="44"/>
  <c r="I5" i="41"/>
  <c r="H8" i="41"/>
  <c r="H11" i="41" s="1"/>
  <c r="H20" i="41" s="1"/>
  <c r="H33" i="41" s="1"/>
  <c r="H35" i="41" s="1"/>
  <c r="AJ35" i="26"/>
  <c r="AD50" i="26" s="1"/>
  <c r="AD57" i="26" s="1"/>
  <c r="AT55" i="26" s="1"/>
  <c r="CE28" i="26"/>
  <c r="AH63" i="44" s="1"/>
  <c r="BT28" i="26"/>
  <c r="AH8" i="44" s="1"/>
  <c r="I5" i="36"/>
  <c r="H8" i="36"/>
  <c r="H11" i="36" s="1"/>
  <c r="H20" i="36" s="1"/>
  <c r="H33" i="36" s="1"/>
  <c r="H35" i="36" s="1"/>
  <c r="BY58" i="26"/>
  <c r="BJ100" i="26" s="1"/>
  <c r="AC33" i="44"/>
  <c r="H8" i="34"/>
  <c r="H11" i="34" s="1"/>
  <c r="H20" i="34" s="1"/>
  <c r="H33" i="34" s="1"/>
  <c r="H35" i="34" s="1"/>
  <c r="I5" i="34"/>
  <c r="BM81" i="26"/>
  <c r="CB24" i="26"/>
  <c r="CJ60" i="44"/>
  <c r="CJ61" i="44" s="1"/>
  <c r="DI61" i="44" s="1"/>
  <c r="CL45" i="44"/>
  <c r="DK45" i="44" s="1"/>
  <c r="H8" i="38"/>
  <c r="H11" i="38" s="1"/>
  <c r="H20" i="38" s="1"/>
  <c r="H33" i="38" s="1"/>
  <c r="H35" i="38" s="1"/>
  <c r="I5" i="38"/>
  <c r="CF37" i="44"/>
  <c r="DE37" i="44" s="1"/>
  <c r="CL37" i="44"/>
  <c r="CJ10" i="44"/>
  <c r="CJ11" i="44" s="1"/>
  <c r="DI11" i="44" s="1"/>
  <c r="DJ5" i="44"/>
  <c r="CG50" i="44"/>
  <c r="CG52" i="44" s="1"/>
  <c r="DF52" i="44" s="1"/>
  <c r="AH35" i="26"/>
  <c r="AG50" i="26" s="1"/>
  <c r="AG57" i="26" s="1"/>
  <c r="AW55" i="26" s="1"/>
  <c r="CC28" i="26"/>
  <c r="AH53" i="44" s="1"/>
  <c r="AD35" i="26"/>
  <c r="Y50" i="26" s="1"/>
  <c r="Y57" i="26" s="1"/>
  <c r="AO55" i="26" s="1"/>
  <c r="BY28" i="26"/>
  <c r="AH33" i="44" s="1"/>
  <c r="CL55" i="44"/>
  <c r="CL57" i="44" s="1"/>
  <c r="DK57" i="44" s="1"/>
  <c r="CL5" i="44"/>
  <c r="CG35" i="44"/>
  <c r="CG36" i="44" s="1"/>
  <c r="DF36" i="44" s="1"/>
  <c r="CK7" i="44"/>
  <c r="DJ7" i="44" s="1"/>
  <c r="DJ21" i="44"/>
  <c r="CK23" i="44"/>
  <c r="CL60" i="44"/>
  <c r="CL61" i="44" s="1"/>
  <c r="DK61" i="44" s="1"/>
  <c r="CE58" i="26"/>
  <c r="BP100" i="26" s="1"/>
  <c r="AC63" i="44"/>
  <c r="DE50" i="44"/>
  <c r="BH81" i="26"/>
  <c r="BW24" i="26"/>
  <c r="AL34" i="26"/>
  <c r="AR55" i="26"/>
  <c r="BW28" i="26"/>
  <c r="AH23" i="44" s="1"/>
  <c r="CM22" i="44" s="1"/>
  <c r="DL22" i="44" s="1"/>
  <c r="AQ55" i="26"/>
  <c r="AL28" i="26"/>
  <c r="AM28" i="26" s="1"/>
  <c r="AP54" i="26"/>
  <c r="CK6" i="44"/>
  <c r="DJ6" i="44" s="1"/>
  <c r="CG5" i="44"/>
  <c r="CG6" i="44" s="1"/>
  <c r="DF6" i="44" s="1"/>
  <c r="CK37" i="44"/>
  <c r="DJ37" i="44" s="1"/>
  <c r="K8" i="40"/>
  <c r="K11" i="40" s="1"/>
  <c r="K20" i="40" s="1"/>
  <c r="K33" i="40" s="1"/>
  <c r="K35" i="40" s="1"/>
  <c r="L5" i="40"/>
  <c r="CL31" i="44"/>
  <c r="CL32" i="44"/>
  <c r="DK32" i="44" s="1"/>
  <c r="BE81" i="26"/>
  <c r="BT24" i="26"/>
  <c r="CK12" i="44"/>
  <c r="DJ12" i="44" s="1"/>
  <c r="AC53" i="44"/>
  <c r="CC58" i="26"/>
  <c r="BN100" i="26" s="1"/>
  <c r="CK51" i="44"/>
  <c r="DJ51" i="44" s="1"/>
  <c r="CF58" i="44"/>
  <c r="CG57" i="44"/>
  <c r="DF57" i="44" s="1"/>
  <c r="H8" i="39"/>
  <c r="H11" i="39" s="1"/>
  <c r="H20" i="39" s="1"/>
  <c r="H33" i="39" s="1"/>
  <c r="H35" i="39" s="1"/>
  <c r="I5" i="39"/>
  <c r="DJ45" i="44"/>
  <c r="BW58" i="26"/>
  <c r="BH100" i="26" s="1"/>
  <c r="AC23" i="44"/>
  <c r="CJ32" i="44"/>
  <c r="DI32" i="44" s="1"/>
  <c r="CJ31" i="44"/>
  <c r="CD59" i="26"/>
  <c r="BO101" i="26" s="1"/>
  <c r="AD58" i="44"/>
  <c r="AC13" i="44"/>
  <c r="BU58" i="26"/>
  <c r="BF100" i="26" s="1"/>
  <c r="BJ81" i="26"/>
  <c r="BY24" i="26"/>
  <c r="BP81" i="26"/>
  <c r="CE24" i="26"/>
  <c r="BZ28" i="26"/>
  <c r="AH38" i="44" s="1"/>
  <c r="CF51" i="44"/>
  <c r="DE51" i="44" s="1"/>
  <c r="CB28" i="26"/>
  <c r="AH48" i="44" s="1"/>
  <c r="CG10" i="44"/>
  <c r="CG11" i="44" s="1"/>
  <c r="DF11" i="44" s="1"/>
  <c r="CF7" i="44"/>
  <c r="DE7" i="44" s="1"/>
  <c r="CF36" i="44"/>
  <c r="DE36" i="44" s="1"/>
  <c r="CG60" i="44"/>
  <c r="CG62" i="44" s="1"/>
  <c r="DF62" i="44" s="1"/>
  <c r="DE65" i="44"/>
  <c r="CF58" i="26"/>
  <c r="BQ100" i="26" s="1"/>
  <c r="AC68" i="44"/>
  <c r="CG23" i="26"/>
  <c r="CH23" i="26" s="1"/>
  <c r="DI16" i="44"/>
  <c r="CJ18" i="44"/>
  <c r="CG65" i="44"/>
  <c r="CL65" i="44"/>
  <c r="CL66" i="44" s="1"/>
  <c r="DK66" i="44" s="1"/>
  <c r="AS54" i="26"/>
  <c r="AY54" i="26"/>
  <c r="AZ54" i="26"/>
  <c r="CG27" i="26"/>
  <c r="CJ28" i="44"/>
  <c r="DI26" i="44"/>
  <c r="DJ65" i="44"/>
  <c r="H8" i="35"/>
  <c r="H11" i="35" s="1"/>
  <c r="H20" i="35" s="1"/>
  <c r="H33" i="35" s="1"/>
  <c r="H35" i="35" s="1"/>
  <c r="I5" i="35"/>
  <c r="AX54" i="26"/>
  <c r="DF26" i="44"/>
  <c r="CG28" i="44"/>
  <c r="AU54" i="26"/>
  <c r="O8" i="28"/>
  <c r="O11" i="28" s="1"/>
  <c r="O20" i="28" s="1"/>
  <c r="O33" i="28" s="1"/>
  <c r="O35" i="28" s="1"/>
  <c r="P5" i="28"/>
  <c r="AK35" i="26"/>
  <c r="AK50" i="26" s="1"/>
  <c r="AK57" i="26" s="1"/>
  <c r="BA55" i="26" s="1"/>
  <c r="CF28" i="26"/>
  <c r="AH68" i="44" s="1"/>
  <c r="CL17" i="44"/>
  <c r="DK17" i="44" s="1"/>
  <c r="CL16" i="44"/>
  <c r="CJ65" i="44"/>
  <c r="CJ66" i="44" s="1"/>
  <c r="DI66" i="44" s="1"/>
  <c r="CF67" i="44"/>
  <c r="BQ81" i="26"/>
  <c r="CF24" i="26"/>
  <c r="AL24" i="26"/>
  <c r="DI35" i="44"/>
  <c r="DL20" i="44"/>
  <c r="CN20" i="44" s="1"/>
  <c r="D8" i="42" s="1"/>
  <c r="CK16" i="44"/>
  <c r="CK17" i="44"/>
  <c r="DJ17" i="44" s="1"/>
  <c r="CK66" i="44"/>
  <c r="DJ66" i="44" s="1"/>
  <c r="AV54" i="26"/>
  <c r="Z50" i="26"/>
  <c r="Z57" i="26" s="1"/>
  <c r="AP55" i="26" s="1"/>
  <c r="AW54" i="26"/>
  <c r="H7" i="8"/>
  <c r="I51" i="8"/>
  <c r="C44" i="8"/>
  <c r="M24" i="8"/>
  <c r="I113" i="8"/>
  <c r="C35" i="8"/>
  <c r="I60" i="8"/>
  <c r="L104" i="8"/>
  <c r="I95" i="8"/>
  <c r="I86" i="8"/>
  <c r="I77" i="8"/>
  <c r="D44" i="8"/>
  <c r="E17" i="8"/>
  <c r="I69" i="8"/>
  <c r="H6" i="27" l="1"/>
  <c r="CI16" i="44"/>
  <c r="DH16" i="44" s="1"/>
  <c r="DJ68" i="44"/>
  <c r="I5" i="27"/>
  <c r="DG40" i="44"/>
  <c r="CM27" i="44"/>
  <c r="DL27" i="44" s="1"/>
  <c r="CH17" i="44"/>
  <c r="DG17" i="44" s="1"/>
  <c r="CH41" i="44"/>
  <c r="DG41" i="44" s="1"/>
  <c r="H35" i="27"/>
  <c r="CG26" i="26"/>
  <c r="CA59" i="26"/>
  <c r="BL101" i="26" s="1"/>
  <c r="AD43" i="44"/>
  <c r="CI40" i="44" s="1"/>
  <c r="CI41" i="44" s="1"/>
  <c r="DH41" i="44" s="1"/>
  <c r="CN41" i="44" s="1"/>
  <c r="E5" i="42" s="1"/>
  <c r="J5" i="33"/>
  <c r="CJ43" i="44"/>
  <c r="N8" i="32"/>
  <c r="N11" i="32" s="1"/>
  <c r="N20" i="32" s="1"/>
  <c r="N33" i="32" s="1"/>
  <c r="N35" i="32" s="1"/>
  <c r="CD28" i="26"/>
  <c r="AH58" i="44" s="1"/>
  <c r="CM55" i="44" s="1"/>
  <c r="DL55" i="44" s="1"/>
  <c r="DE67" i="44"/>
  <c r="CL28" i="44"/>
  <c r="DG55" i="44"/>
  <c r="CL23" i="44"/>
  <c r="DE72" i="44"/>
  <c r="CM17" i="44"/>
  <c r="DL17" i="44" s="1"/>
  <c r="CH56" i="44"/>
  <c r="DG56" i="44" s="1"/>
  <c r="CL11" i="44"/>
  <c r="DK11" i="44" s="1"/>
  <c r="CH27" i="44"/>
  <c r="DG27" i="44" s="1"/>
  <c r="CH26" i="44"/>
  <c r="CM42" i="44"/>
  <c r="DL42" i="44" s="1"/>
  <c r="CO74" i="44"/>
  <c r="AD28" i="44"/>
  <c r="BX59" i="26"/>
  <c r="BI101" i="26" s="1"/>
  <c r="DJ56" i="44"/>
  <c r="CG67" i="44"/>
  <c r="CK48" i="44"/>
  <c r="CK57" i="44"/>
  <c r="DJ57" i="44" s="1"/>
  <c r="CG7" i="44"/>
  <c r="DF7" i="44" s="1"/>
  <c r="CF53" i="44"/>
  <c r="CL56" i="44"/>
  <c r="DK56" i="44" s="1"/>
  <c r="CJ51" i="44"/>
  <c r="DI51" i="44" s="1"/>
  <c r="CJ67" i="44"/>
  <c r="DJ55" i="44"/>
  <c r="CJ7" i="44"/>
  <c r="DI7" i="44" s="1"/>
  <c r="DL40" i="44"/>
  <c r="CJ38" i="44"/>
  <c r="N5" i="29"/>
  <c r="M8" i="29"/>
  <c r="M11" i="29" s="1"/>
  <c r="M20" i="29" s="1"/>
  <c r="M33" i="29" s="1"/>
  <c r="M35" i="29" s="1"/>
  <c r="CG51" i="44"/>
  <c r="DF51" i="44" s="1"/>
  <c r="CL47" i="44"/>
  <c r="DK47" i="44" s="1"/>
  <c r="CK42" i="44"/>
  <c r="DJ42" i="44" s="1"/>
  <c r="CM21" i="44"/>
  <c r="DL21" i="44" s="1"/>
  <c r="CG61" i="44"/>
  <c r="DF61" i="44" s="1"/>
  <c r="CL42" i="44"/>
  <c r="DK42" i="44" s="1"/>
  <c r="DK40" i="44"/>
  <c r="CM45" i="44"/>
  <c r="CM46" i="44" s="1"/>
  <c r="DL46" i="44" s="1"/>
  <c r="DK50" i="44"/>
  <c r="CG33" i="44"/>
  <c r="DF31" i="44"/>
  <c r="CG46" i="44"/>
  <c r="DF46" i="44" s="1"/>
  <c r="DF45" i="44"/>
  <c r="AD13" i="44"/>
  <c r="BU59" i="26"/>
  <c r="BF101" i="26" s="1"/>
  <c r="AD33" i="44"/>
  <c r="BY59" i="26"/>
  <c r="BJ101" i="26" s="1"/>
  <c r="CH21" i="44"/>
  <c r="CH22" i="44"/>
  <c r="DG22" i="44" s="1"/>
  <c r="DI10" i="44"/>
  <c r="CH5" i="44"/>
  <c r="CH6" i="44" s="1"/>
  <c r="DG6" i="44" s="1"/>
  <c r="CF38" i="44"/>
  <c r="AD53" i="44"/>
  <c r="CC59" i="26"/>
  <c r="BN101" i="26" s="1"/>
  <c r="CH45" i="44"/>
  <c r="CK53" i="44"/>
  <c r="CM11" i="44"/>
  <c r="DL11" i="44" s="1"/>
  <c r="DL10" i="44"/>
  <c r="AL35" i="26"/>
  <c r="AM37" i="26" s="1"/>
  <c r="DF10" i="44"/>
  <c r="CM35" i="44"/>
  <c r="CM36" i="44" s="1"/>
  <c r="DF5" i="44"/>
  <c r="AD23" i="44"/>
  <c r="BW59" i="26"/>
  <c r="BH101" i="26" s="1"/>
  <c r="CL62" i="44"/>
  <c r="DK62" i="44" s="1"/>
  <c r="DK60" i="44"/>
  <c r="CL7" i="44"/>
  <c r="DK7" i="44" s="1"/>
  <c r="DK5" i="44"/>
  <c r="DK55" i="44"/>
  <c r="CK8" i="44"/>
  <c r="CJ12" i="44"/>
  <c r="DI12" i="44" s="1"/>
  <c r="CJ62" i="44"/>
  <c r="DI62" i="44" s="1"/>
  <c r="DI60" i="44"/>
  <c r="I8" i="36"/>
  <c r="I11" i="36" s="1"/>
  <c r="I20" i="36" s="1"/>
  <c r="I33" i="36" s="1"/>
  <c r="I35" i="36" s="1"/>
  <c r="J5" i="36"/>
  <c r="AD38" i="44"/>
  <c r="BZ59" i="26"/>
  <c r="BK101" i="26" s="1"/>
  <c r="CK38" i="44"/>
  <c r="DK10" i="44"/>
  <c r="CH35" i="44"/>
  <c r="CH37" i="44" s="1"/>
  <c r="DG37" i="44" s="1"/>
  <c r="CK13" i="44"/>
  <c r="CH10" i="44"/>
  <c r="CH12" i="44" s="1"/>
  <c r="DG12" i="44" s="1"/>
  <c r="DK31" i="44"/>
  <c r="CL33" i="44"/>
  <c r="DF35" i="44"/>
  <c r="I8" i="38"/>
  <c r="I11" i="38" s="1"/>
  <c r="I20" i="38" s="1"/>
  <c r="I33" i="38" s="1"/>
  <c r="I35" i="38" s="1"/>
  <c r="J5" i="38"/>
  <c r="CM60" i="44"/>
  <c r="CM62" i="44" s="1"/>
  <c r="DL62" i="44" s="1"/>
  <c r="DF60" i="44"/>
  <c r="CI55" i="44"/>
  <c r="CI57" i="44" s="1"/>
  <c r="DH57" i="44" s="1"/>
  <c r="I8" i="39"/>
  <c r="I11" i="39" s="1"/>
  <c r="I20" i="39" s="1"/>
  <c r="I33" i="39" s="1"/>
  <c r="I35" i="39" s="1"/>
  <c r="J5" i="39"/>
  <c r="AD8" i="44"/>
  <c r="BT59" i="26"/>
  <c r="BE101" i="26" s="1"/>
  <c r="M5" i="40"/>
  <c r="L8" i="40"/>
  <c r="L11" i="40" s="1"/>
  <c r="L20" i="40" s="1"/>
  <c r="L33" i="40" s="1"/>
  <c r="L35" i="40" s="1"/>
  <c r="CM50" i="44"/>
  <c r="CM51" i="44" s="1"/>
  <c r="DL51" i="44" s="1"/>
  <c r="J5" i="34"/>
  <c r="I8" i="34"/>
  <c r="I11" i="34" s="1"/>
  <c r="I20" i="34" s="1"/>
  <c r="I33" i="34" s="1"/>
  <c r="I35" i="34" s="1"/>
  <c r="O5" i="30"/>
  <c r="N8" i="30"/>
  <c r="N11" i="30" s="1"/>
  <c r="N20" i="30" s="1"/>
  <c r="N33" i="30" s="1"/>
  <c r="N35" i="30" s="1"/>
  <c r="CL52" i="44"/>
  <c r="DK52" i="44" s="1"/>
  <c r="CK68" i="44"/>
  <c r="CG12" i="44"/>
  <c r="DF12" i="44" s="1"/>
  <c r="CE59" i="26"/>
  <c r="BP101" i="26" s="1"/>
  <c r="AD63" i="44"/>
  <c r="CI60" i="44" s="1"/>
  <c r="CI62" i="44" s="1"/>
  <c r="DH62" i="44" s="1"/>
  <c r="CJ33" i="44"/>
  <c r="DI31" i="44"/>
  <c r="CH50" i="44"/>
  <c r="DG50" i="44" s="1"/>
  <c r="CH60" i="44"/>
  <c r="CG37" i="44"/>
  <c r="DF37" i="44" s="1"/>
  <c r="CL6" i="44"/>
  <c r="DK6" i="44" s="1"/>
  <c r="CM32" i="44"/>
  <c r="DL32" i="44" s="1"/>
  <c r="CM31" i="44"/>
  <c r="DF50" i="44"/>
  <c r="DK37" i="44"/>
  <c r="CL38" i="44"/>
  <c r="CL46" i="44"/>
  <c r="AD48" i="44"/>
  <c r="CB59" i="26"/>
  <c r="BM101" i="26" s="1"/>
  <c r="CH32" i="44"/>
  <c r="DG32" i="44" s="1"/>
  <c r="CH31" i="44"/>
  <c r="CM5" i="44"/>
  <c r="CM7" i="44" s="1"/>
  <c r="DL7" i="44" s="1"/>
  <c r="J5" i="41"/>
  <c r="I8" i="41"/>
  <c r="I11" i="41" s="1"/>
  <c r="I20" i="41" s="1"/>
  <c r="I33" i="41" s="1"/>
  <c r="I35" i="41" s="1"/>
  <c r="CJ56" i="44"/>
  <c r="DI56" i="44" s="1"/>
  <c r="DI55" i="44"/>
  <c r="DI5" i="44"/>
  <c r="CL51" i="44"/>
  <c r="DK51" i="44" s="1"/>
  <c r="CF8" i="44"/>
  <c r="CG47" i="44"/>
  <c r="DF47" i="44" s="1"/>
  <c r="DI50" i="44"/>
  <c r="CG58" i="44"/>
  <c r="CJ23" i="44"/>
  <c r="DI21" i="44"/>
  <c r="DJ40" i="44"/>
  <c r="CJ47" i="44"/>
  <c r="DI47" i="44" s="1"/>
  <c r="DI45" i="44"/>
  <c r="DK16" i="44"/>
  <c r="CL18" i="44"/>
  <c r="I8" i="35"/>
  <c r="I11" i="35" s="1"/>
  <c r="I20" i="35" s="1"/>
  <c r="I33" i="35" s="1"/>
  <c r="I35" i="35" s="1"/>
  <c r="J5" i="35"/>
  <c r="DE71" i="44"/>
  <c r="CI18" i="44"/>
  <c r="DK65" i="44"/>
  <c r="CH65" i="44"/>
  <c r="CH67" i="44" s="1"/>
  <c r="CF59" i="26"/>
  <c r="BQ101" i="26" s="1"/>
  <c r="AD68" i="44"/>
  <c r="CG24" i="26"/>
  <c r="Q5" i="28"/>
  <c r="P8" i="28"/>
  <c r="P11" i="28" s="1"/>
  <c r="P20" i="28" s="1"/>
  <c r="P33" i="28" s="1"/>
  <c r="P35" i="28" s="1"/>
  <c r="CL67" i="44"/>
  <c r="DK67" i="44" s="1"/>
  <c r="DL16" i="44"/>
  <c r="DJ16" i="44"/>
  <c r="CK18" i="44"/>
  <c r="DF65" i="44"/>
  <c r="DI65" i="44"/>
  <c r="CM65" i="44"/>
  <c r="CM67" i="44" s="1"/>
  <c r="DL67" i="44" s="1"/>
  <c r="P5" i="32"/>
  <c r="O8" i="32"/>
  <c r="O11" i="32" s="1"/>
  <c r="O20" i="32" s="1"/>
  <c r="O33" i="32" s="1"/>
  <c r="CG66" i="44"/>
  <c r="DF66" i="44" s="1"/>
  <c r="CF68" i="44"/>
  <c r="I7" i="8"/>
  <c r="J51" i="8"/>
  <c r="C26" i="8"/>
  <c r="D35" i="8"/>
  <c r="M104" i="8"/>
  <c r="J60" i="8"/>
  <c r="J113" i="8"/>
  <c r="J95" i="8"/>
  <c r="J86" i="8"/>
  <c r="J77" i="8"/>
  <c r="J69" i="8"/>
  <c r="E44" i="8"/>
  <c r="F17" i="8"/>
  <c r="DE73" i="44" l="1"/>
  <c r="DE74" i="44" s="1"/>
  <c r="DK68" i="44"/>
  <c r="DE68" i="44"/>
  <c r="I8" i="27"/>
  <c r="I11" i="27" s="1"/>
  <c r="I20" i="27" s="1"/>
  <c r="I33" i="27" s="1"/>
  <c r="I35" i="27" s="1"/>
  <c r="I6" i="27"/>
  <c r="J5" i="27"/>
  <c r="CI42" i="44"/>
  <c r="DH42" i="44" s="1"/>
  <c r="CN42" i="44" s="1"/>
  <c r="F5" i="42" s="1"/>
  <c r="DH40" i="44"/>
  <c r="CN40" i="44" s="1"/>
  <c r="D5" i="42" s="1"/>
  <c r="CM28" i="44"/>
  <c r="CH43" i="44"/>
  <c r="CN17" i="44"/>
  <c r="F9" i="42" s="1"/>
  <c r="CM56" i="44"/>
  <c r="DL56" i="44" s="1"/>
  <c r="O35" i="32"/>
  <c r="CH18" i="44"/>
  <c r="CM57" i="44"/>
  <c r="DL57" i="44" s="1"/>
  <c r="CN57" i="44" s="1"/>
  <c r="F4" i="42" s="1"/>
  <c r="J8" i="33"/>
  <c r="J11" i="33" s="1"/>
  <c r="J20" i="33" s="1"/>
  <c r="J33" i="33" s="1"/>
  <c r="J35" i="33" s="1"/>
  <c r="K5" i="33"/>
  <c r="K8" i="33" s="1"/>
  <c r="K11" i="33" s="1"/>
  <c r="K20" i="33" s="1"/>
  <c r="K33" i="33" s="1"/>
  <c r="CG28" i="26"/>
  <c r="CM43" i="44"/>
  <c r="DG67" i="44"/>
  <c r="DI67" i="44"/>
  <c r="DF67" i="44"/>
  <c r="CM18" i="44"/>
  <c r="CK43" i="44"/>
  <c r="CH58" i="44"/>
  <c r="DJ71" i="44"/>
  <c r="CL13" i="44"/>
  <c r="CJ8" i="44"/>
  <c r="CH51" i="44"/>
  <c r="DG51" i="44" s="1"/>
  <c r="CL58" i="44"/>
  <c r="CG8" i="44"/>
  <c r="CH7" i="44"/>
  <c r="DG7" i="44" s="1"/>
  <c r="CJ68" i="44"/>
  <c r="DJ73" i="44"/>
  <c r="CI27" i="44"/>
  <c r="DH27" i="44" s="1"/>
  <c r="CN27" i="44" s="1"/>
  <c r="F15" i="42" s="1"/>
  <c r="CI26" i="44"/>
  <c r="CH28" i="44"/>
  <c r="DG26" i="44"/>
  <c r="DJ72" i="44"/>
  <c r="CJ53" i="44"/>
  <c r="DI72" i="44"/>
  <c r="CM47" i="44"/>
  <c r="DL47" i="44" s="1"/>
  <c r="CH66" i="44"/>
  <c r="DG66" i="44" s="1"/>
  <c r="CM6" i="44"/>
  <c r="DL6" i="44" s="1"/>
  <c r="CK58" i="44"/>
  <c r="CG53" i="44"/>
  <c r="CG63" i="44"/>
  <c r="O5" i="29"/>
  <c r="N8" i="29"/>
  <c r="N11" i="29" s="1"/>
  <c r="N20" i="29" s="1"/>
  <c r="N33" i="29" s="1"/>
  <c r="N35" i="29" s="1"/>
  <c r="CG38" i="44"/>
  <c r="CL43" i="44"/>
  <c r="DH60" i="44"/>
  <c r="CM66" i="44"/>
  <c r="DL66" i="44" s="1"/>
  <c r="DK73" i="44"/>
  <c r="DK71" i="44"/>
  <c r="CJ48" i="44"/>
  <c r="CM23" i="44"/>
  <c r="CI61" i="44"/>
  <c r="DH61" i="44" s="1"/>
  <c r="CJ13" i="44"/>
  <c r="DL36" i="44"/>
  <c r="CI45" i="44"/>
  <c r="CI47" i="44" s="1"/>
  <c r="DH47" i="44" s="1"/>
  <c r="DG60" i="44"/>
  <c r="DG45" i="44"/>
  <c r="DL60" i="44"/>
  <c r="DG10" i="44"/>
  <c r="K5" i="36"/>
  <c r="J8" i="36"/>
  <c r="J11" i="36" s="1"/>
  <c r="J20" i="36" s="1"/>
  <c r="J33" i="36" s="1"/>
  <c r="J35" i="36" s="1"/>
  <c r="CI21" i="44"/>
  <c r="CI22" i="44"/>
  <c r="DH22" i="44" s="1"/>
  <c r="CN22" i="44" s="1"/>
  <c r="F8" i="42" s="1"/>
  <c r="CJ58" i="44"/>
  <c r="DL5" i="44"/>
  <c r="DL31" i="44"/>
  <c r="CM33" i="44"/>
  <c r="CH62" i="44"/>
  <c r="DG62" i="44" s="1"/>
  <c r="CN62" i="44" s="1"/>
  <c r="F12" i="42" s="1"/>
  <c r="CH52" i="44"/>
  <c r="CI56" i="44"/>
  <c r="DH56" i="44" s="1"/>
  <c r="DH55" i="44"/>
  <c r="CN55" i="44" s="1"/>
  <c r="D4" i="42" s="1"/>
  <c r="J8" i="38"/>
  <c r="J11" i="38" s="1"/>
  <c r="J20" i="38" s="1"/>
  <c r="J33" i="38" s="1"/>
  <c r="J35" i="38" s="1"/>
  <c r="K5" i="38"/>
  <c r="CH11" i="44"/>
  <c r="DG11" i="44" s="1"/>
  <c r="CL63" i="44"/>
  <c r="CG13" i="44"/>
  <c r="CM13" i="44"/>
  <c r="CH47" i="44"/>
  <c r="DG47" i="44" s="1"/>
  <c r="CI50" i="44"/>
  <c r="CI51" i="44" s="1"/>
  <c r="DH51" i="44" s="1"/>
  <c r="CL53" i="44"/>
  <c r="J8" i="39"/>
  <c r="J11" i="39" s="1"/>
  <c r="J20" i="39" s="1"/>
  <c r="J33" i="39" s="1"/>
  <c r="J35" i="39" s="1"/>
  <c r="K5" i="39"/>
  <c r="CI35" i="44"/>
  <c r="DL35" i="44"/>
  <c r="CM37" i="44"/>
  <c r="DL37" i="44" s="1"/>
  <c r="CI10" i="44"/>
  <c r="CI11" i="44" s="1"/>
  <c r="DH11" i="44" s="1"/>
  <c r="DI71" i="44"/>
  <c r="DF71" i="44"/>
  <c r="K5" i="41"/>
  <c r="J8" i="41"/>
  <c r="J11" i="41" s="1"/>
  <c r="J20" i="41" s="1"/>
  <c r="J33" i="41" s="1"/>
  <c r="J35" i="41" s="1"/>
  <c r="DG31" i="44"/>
  <c r="CH33" i="44"/>
  <c r="CL48" i="44"/>
  <c r="DK46" i="44"/>
  <c r="DK72" i="44" s="1"/>
  <c r="K5" i="34"/>
  <c r="J8" i="34"/>
  <c r="J11" i="34" s="1"/>
  <c r="J20" i="34" s="1"/>
  <c r="J33" i="34" s="1"/>
  <c r="J35" i="34" s="1"/>
  <c r="M8" i="40"/>
  <c r="M11" i="40" s="1"/>
  <c r="M20" i="40" s="1"/>
  <c r="M33" i="40" s="1"/>
  <c r="M35" i="40" s="1"/>
  <c r="N5" i="40"/>
  <c r="DG35" i="44"/>
  <c r="CI31" i="44"/>
  <c r="CI32" i="44"/>
  <c r="DH32" i="44" s="1"/>
  <c r="CN32" i="44" s="1"/>
  <c r="F10" i="42" s="1"/>
  <c r="CG48" i="44"/>
  <c r="CH61" i="44"/>
  <c r="DG61" i="44" s="1"/>
  <c r="O8" i="30"/>
  <c r="O11" i="30" s="1"/>
  <c r="O20" i="30" s="1"/>
  <c r="O33" i="30" s="1"/>
  <c r="O35" i="30" s="1"/>
  <c r="P5" i="30"/>
  <c r="CM52" i="44"/>
  <c r="DL52" i="44" s="1"/>
  <c r="DL50" i="44"/>
  <c r="CI5" i="44"/>
  <c r="CM61" i="44"/>
  <c r="DL61" i="44" s="1"/>
  <c r="CH36" i="44"/>
  <c r="DG36" i="44" s="1"/>
  <c r="CJ63" i="44"/>
  <c r="CL8" i="44"/>
  <c r="CH46" i="44"/>
  <c r="DG46" i="44" s="1"/>
  <c r="DG5" i="44"/>
  <c r="DG21" i="44"/>
  <c r="CH23" i="44"/>
  <c r="DL45" i="44"/>
  <c r="R5" i="28"/>
  <c r="Q8" i="28"/>
  <c r="Q11" i="28" s="1"/>
  <c r="Q20" i="28" s="1"/>
  <c r="Q33" i="28" s="1"/>
  <c r="Q35" i="28" s="1"/>
  <c r="CG68" i="44"/>
  <c r="CI65" i="44"/>
  <c r="CL68" i="44"/>
  <c r="DF72" i="44"/>
  <c r="P8" i="32"/>
  <c r="P11" i="32" s="1"/>
  <c r="P20" i="32" s="1"/>
  <c r="P33" i="32" s="1"/>
  <c r="P35" i="32" s="1"/>
  <c r="Q5" i="32"/>
  <c r="DL65" i="44"/>
  <c r="DG65" i="44"/>
  <c r="J8" i="35"/>
  <c r="J11" i="35" s="1"/>
  <c r="J20" i="35" s="1"/>
  <c r="J33" i="35" s="1"/>
  <c r="J35" i="35" s="1"/>
  <c r="K5" i="35"/>
  <c r="CN16" i="44"/>
  <c r="E9" i="42" s="1"/>
  <c r="CH24" i="26"/>
  <c r="CH25" i="26"/>
  <c r="J7" i="8"/>
  <c r="K51" i="8"/>
  <c r="D26" i="8"/>
  <c r="C106" i="8"/>
  <c r="E35" i="8"/>
  <c r="K77" i="8"/>
  <c r="K60" i="8"/>
  <c r="K86" i="8"/>
  <c r="K95" i="8"/>
  <c r="K113" i="8"/>
  <c r="G17" i="8"/>
  <c r="F44" i="8"/>
  <c r="K69" i="8"/>
  <c r="DI73" i="44" l="1"/>
  <c r="DI75" i="44" s="1"/>
  <c r="DF73" i="44"/>
  <c r="DF74" i="44" s="1"/>
  <c r="DI68" i="44"/>
  <c r="DG68" i="44"/>
  <c r="DF68" i="44"/>
  <c r="J8" i="27"/>
  <c r="J11" i="27" s="1"/>
  <c r="J20" i="27" s="1"/>
  <c r="J33" i="27" s="1"/>
  <c r="J35" i="27" s="1"/>
  <c r="J6" i="27"/>
  <c r="K5" i="27"/>
  <c r="CI43" i="44"/>
  <c r="L5" i="33"/>
  <c r="L8" i="33" s="1"/>
  <c r="L11" i="33" s="1"/>
  <c r="L20" i="33" s="1"/>
  <c r="L33" i="33" s="1"/>
  <c r="L35" i="33" s="1"/>
  <c r="CN56" i="44"/>
  <c r="E4" i="42" s="1"/>
  <c r="CM58" i="44"/>
  <c r="K35" i="33"/>
  <c r="CM48" i="44"/>
  <c r="CN51" i="44"/>
  <c r="E16" i="42" s="1"/>
  <c r="CH8" i="44"/>
  <c r="CM8" i="44"/>
  <c r="CH68" i="44"/>
  <c r="DH26" i="44"/>
  <c r="CN26" i="44" s="1"/>
  <c r="E15" i="42" s="1"/>
  <c r="CI28" i="44"/>
  <c r="DG71" i="44"/>
  <c r="CM68" i="44"/>
  <c r="CI66" i="44"/>
  <c r="DH66" i="44" s="1"/>
  <c r="CN66" i="44" s="1"/>
  <c r="E13" i="42" s="1"/>
  <c r="CI58" i="44"/>
  <c r="CI63" i="44"/>
  <c r="CH38" i="44"/>
  <c r="CI46" i="44"/>
  <c r="DH46" i="44" s="1"/>
  <c r="CN46" i="44" s="1"/>
  <c r="E7" i="42" s="1"/>
  <c r="O8" i="29"/>
  <c r="O11" i="29" s="1"/>
  <c r="O20" i="29" s="1"/>
  <c r="O33" i="29" s="1"/>
  <c r="O35" i="29" s="1"/>
  <c r="P5" i="29"/>
  <c r="CM53" i="44"/>
  <c r="CN60" i="44"/>
  <c r="D12" i="42" s="1"/>
  <c r="CN61" i="44"/>
  <c r="E12" i="42" s="1"/>
  <c r="DL72" i="44"/>
  <c r="CM38" i="44"/>
  <c r="DG72" i="44"/>
  <c r="CI33" i="44"/>
  <c r="DH31" i="44"/>
  <c r="CN31" i="44" s="1"/>
  <c r="E10" i="42" s="1"/>
  <c r="K8" i="41"/>
  <c r="K11" i="41" s="1"/>
  <c r="K20" i="41" s="1"/>
  <c r="K33" i="41" s="1"/>
  <c r="K35" i="41" s="1"/>
  <c r="L5" i="41"/>
  <c r="DH35" i="44"/>
  <c r="CN35" i="44" s="1"/>
  <c r="D11" i="42" s="1"/>
  <c r="K8" i="39"/>
  <c r="K11" i="39" s="1"/>
  <c r="K20" i="39" s="1"/>
  <c r="K33" i="39" s="1"/>
  <c r="K35" i="39" s="1"/>
  <c r="L5" i="39"/>
  <c r="CN11" i="44"/>
  <c r="E6" i="42" s="1"/>
  <c r="DL71" i="44"/>
  <c r="CI12" i="44"/>
  <c r="DH12" i="44" s="1"/>
  <c r="CN12" i="44" s="1"/>
  <c r="F6" i="42" s="1"/>
  <c r="DH10" i="44"/>
  <c r="CN10" i="44" s="1"/>
  <c r="D6" i="42" s="1"/>
  <c r="CI37" i="44"/>
  <c r="DH37" i="44" s="1"/>
  <c r="CN37" i="44" s="1"/>
  <c r="F11" i="42" s="1"/>
  <c r="K8" i="38"/>
  <c r="K11" i="38" s="1"/>
  <c r="K20" i="38" s="1"/>
  <c r="K33" i="38" s="1"/>
  <c r="K35" i="38" s="1"/>
  <c r="L5" i="38"/>
  <c r="L5" i="34"/>
  <c r="K8" i="34"/>
  <c r="K11" i="34" s="1"/>
  <c r="K20" i="34" s="1"/>
  <c r="K33" i="34" s="1"/>
  <c r="K35" i="34" s="1"/>
  <c r="CI36" i="44"/>
  <c r="DH36" i="44" s="1"/>
  <c r="CN36" i="44" s="1"/>
  <c r="E11" i="42" s="1"/>
  <c r="CN47" i="44"/>
  <c r="F7" i="42" s="1"/>
  <c r="L5" i="36"/>
  <c r="K8" i="36"/>
  <c r="K11" i="36" s="1"/>
  <c r="K20" i="36" s="1"/>
  <c r="K33" i="36" s="1"/>
  <c r="K35" i="36" s="1"/>
  <c r="DH5" i="44"/>
  <c r="CN5" i="44" s="1"/>
  <c r="D14" i="42" s="1"/>
  <c r="CH13" i="44"/>
  <c r="CH48" i="44"/>
  <c r="CI7" i="44"/>
  <c r="DH7" i="44" s="1"/>
  <c r="CN7" i="44" s="1"/>
  <c r="F14" i="42" s="1"/>
  <c r="DH50" i="44"/>
  <c r="CN50" i="44" s="1"/>
  <c r="D16" i="42" s="1"/>
  <c r="DH21" i="44"/>
  <c r="CN21" i="44" s="1"/>
  <c r="E8" i="42" s="1"/>
  <c r="CI23" i="44"/>
  <c r="CI6" i="44"/>
  <c r="DH6" i="44" s="1"/>
  <c r="CN6" i="44" s="1"/>
  <c r="E14" i="42" s="1"/>
  <c r="P8" i="30"/>
  <c r="P11" i="30" s="1"/>
  <c r="P20" i="30" s="1"/>
  <c r="P33" i="30" s="1"/>
  <c r="P35" i="30" s="1"/>
  <c r="Q5" i="30"/>
  <c r="O5" i="40"/>
  <c r="N8" i="40"/>
  <c r="N11" i="40" s="1"/>
  <c r="N20" i="40" s="1"/>
  <c r="N33" i="40" s="1"/>
  <c r="N35" i="40" s="1"/>
  <c r="DL73" i="44"/>
  <c r="CI52" i="44"/>
  <c r="DH52" i="44" s="1"/>
  <c r="CH53" i="44"/>
  <c r="DG52" i="44"/>
  <c r="DG73" i="44" s="1"/>
  <c r="CM63" i="44"/>
  <c r="CH63" i="44"/>
  <c r="DH45" i="44"/>
  <c r="CN45" i="44" s="1"/>
  <c r="D7" i="42" s="1"/>
  <c r="L5" i="35"/>
  <c r="K8" i="35"/>
  <c r="K11" i="35" s="1"/>
  <c r="K20" i="35" s="1"/>
  <c r="K33" i="35" s="1"/>
  <c r="K35" i="35" s="1"/>
  <c r="Q8" i="32"/>
  <c r="Q11" i="32" s="1"/>
  <c r="Q20" i="32" s="1"/>
  <c r="Q33" i="32" s="1"/>
  <c r="Q35" i="32" s="1"/>
  <c r="R5" i="32"/>
  <c r="S5" i="28"/>
  <c r="R8" i="28"/>
  <c r="R11" i="28" s="1"/>
  <c r="R20" i="28" s="1"/>
  <c r="R33" i="28" s="1"/>
  <c r="R35" i="28" s="1"/>
  <c r="DH65" i="44"/>
  <c r="CI67" i="44"/>
  <c r="K7" i="8"/>
  <c r="L51" i="8"/>
  <c r="E26" i="8"/>
  <c r="L60" i="8"/>
  <c r="D106" i="8"/>
  <c r="L113" i="8"/>
  <c r="L95" i="8"/>
  <c r="F35" i="8"/>
  <c r="L86" i="8"/>
  <c r="L77" i="8"/>
  <c r="G44" i="8"/>
  <c r="H17" i="8"/>
  <c r="L69" i="8"/>
  <c r="DI74" i="44" l="1"/>
  <c r="K6" i="27"/>
  <c r="K8" i="27"/>
  <c r="K11" i="27" s="1"/>
  <c r="K20" i="27" s="1"/>
  <c r="K33" i="27" s="1"/>
  <c r="K35" i="27" s="1"/>
  <c r="L5" i="27"/>
  <c r="M5" i="33"/>
  <c r="M8" i="33" s="1"/>
  <c r="M11" i="33" s="1"/>
  <c r="M20" i="33" s="1"/>
  <c r="M33" i="33" s="1"/>
  <c r="M35" i="33" s="1"/>
  <c r="DH67" i="44"/>
  <c r="CI48" i="44"/>
  <c r="CN52" i="44"/>
  <c r="F16" i="42" s="1"/>
  <c r="Q5" i="29"/>
  <c r="P8" i="29"/>
  <c r="P11" i="29" s="1"/>
  <c r="P20" i="29" s="1"/>
  <c r="P33" i="29" s="1"/>
  <c r="P35" i="29" s="1"/>
  <c r="CI13" i="44"/>
  <c r="DG74" i="44"/>
  <c r="DH72" i="44"/>
  <c r="CI53" i="44"/>
  <c r="L8" i="36"/>
  <c r="L11" i="36" s="1"/>
  <c r="L20" i="36" s="1"/>
  <c r="L33" i="36" s="1"/>
  <c r="L35" i="36" s="1"/>
  <c r="M5" i="36"/>
  <c r="CI38" i="44"/>
  <c r="L8" i="38"/>
  <c r="L11" i="38" s="1"/>
  <c r="L20" i="38" s="1"/>
  <c r="L33" i="38" s="1"/>
  <c r="L35" i="38" s="1"/>
  <c r="M5" i="38"/>
  <c r="R5" i="30"/>
  <c r="Q8" i="30"/>
  <c r="Q11" i="30" s="1"/>
  <c r="Q20" i="30" s="1"/>
  <c r="Q33" i="30" s="1"/>
  <c r="Q35" i="30" s="1"/>
  <c r="CI8" i="44"/>
  <c r="L8" i="39"/>
  <c r="L11" i="39" s="1"/>
  <c r="L20" i="39" s="1"/>
  <c r="L33" i="39" s="1"/>
  <c r="L35" i="39" s="1"/>
  <c r="M5" i="39"/>
  <c r="M5" i="41"/>
  <c r="L8" i="41"/>
  <c r="L11" i="41" s="1"/>
  <c r="L20" i="41" s="1"/>
  <c r="L33" i="41" s="1"/>
  <c r="L35" i="41" s="1"/>
  <c r="P5" i="40"/>
  <c r="O8" i="40"/>
  <c r="O11" i="40" s="1"/>
  <c r="O20" i="40" s="1"/>
  <c r="O33" i="40" s="1"/>
  <c r="O35" i="40" s="1"/>
  <c r="L8" i="34"/>
  <c r="L11" i="34" s="1"/>
  <c r="L20" i="34" s="1"/>
  <c r="L33" i="34" s="1"/>
  <c r="L35" i="34" s="1"/>
  <c r="M5" i="34"/>
  <c r="L8" i="35"/>
  <c r="L11" i="35" s="1"/>
  <c r="L20" i="35" s="1"/>
  <c r="L33" i="35" s="1"/>
  <c r="L35" i="35" s="1"/>
  <c r="M5" i="35"/>
  <c r="CI68" i="44"/>
  <c r="T5" i="28"/>
  <c r="S8" i="28"/>
  <c r="S11" i="28" s="1"/>
  <c r="S20" i="28" s="1"/>
  <c r="S33" i="28" s="1"/>
  <c r="S35" i="28" s="1"/>
  <c r="S5" i="32"/>
  <c r="R8" i="32"/>
  <c r="R11" i="32" s="1"/>
  <c r="R20" i="32" s="1"/>
  <c r="R33" i="32" s="1"/>
  <c r="R35" i="32" s="1"/>
  <c r="CN65" i="44"/>
  <c r="D13" i="42" s="1"/>
  <c r="DH71" i="44"/>
  <c r="L7" i="8"/>
  <c r="M51" i="8"/>
  <c r="F26" i="8"/>
  <c r="G35" i="8"/>
  <c r="M95" i="8"/>
  <c r="M113" i="8"/>
  <c r="M77" i="8"/>
  <c r="M60" i="8"/>
  <c r="M86" i="8"/>
  <c r="E106" i="8"/>
  <c r="I17" i="8"/>
  <c r="H44" i="8"/>
  <c r="M69" i="8"/>
  <c r="DH73" i="44" l="1"/>
  <c r="DH74" i="44" s="1"/>
  <c r="DH68" i="44"/>
  <c r="L6" i="27"/>
  <c r="L8" i="27"/>
  <c r="L11" i="27" s="1"/>
  <c r="L20" i="27" s="1"/>
  <c r="L33" i="27" s="1"/>
  <c r="L35" i="27" s="1"/>
  <c r="M5" i="27"/>
  <c r="N5" i="33"/>
  <c r="N8" i="33" s="1"/>
  <c r="N11" i="33" s="1"/>
  <c r="N20" i="33" s="1"/>
  <c r="N33" i="33" s="1"/>
  <c r="N35" i="33" s="1"/>
  <c r="CN67" i="44"/>
  <c r="F13" i="42" s="1"/>
  <c r="Q8" i="29"/>
  <c r="Q11" i="29" s="1"/>
  <c r="Q20" i="29" s="1"/>
  <c r="Q33" i="29" s="1"/>
  <c r="Q35" i="29" s="1"/>
  <c r="R5" i="29"/>
  <c r="Q5" i="40"/>
  <c r="P8" i="40"/>
  <c r="P11" i="40" s="1"/>
  <c r="P20" i="40" s="1"/>
  <c r="P33" i="40" s="1"/>
  <c r="P35" i="40" s="1"/>
  <c r="M8" i="38"/>
  <c r="M11" i="38" s="1"/>
  <c r="M20" i="38" s="1"/>
  <c r="M33" i="38" s="1"/>
  <c r="M35" i="38" s="1"/>
  <c r="N5" i="38"/>
  <c r="M8" i="34"/>
  <c r="M11" i="34" s="1"/>
  <c r="M20" i="34" s="1"/>
  <c r="M33" i="34" s="1"/>
  <c r="M35" i="34" s="1"/>
  <c r="N5" i="34"/>
  <c r="M8" i="36"/>
  <c r="M11" i="36" s="1"/>
  <c r="M20" i="36" s="1"/>
  <c r="M33" i="36" s="1"/>
  <c r="M35" i="36" s="1"/>
  <c r="N5" i="36"/>
  <c r="M8" i="41"/>
  <c r="M11" i="41" s="1"/>
  <c r="M20" i="41" s="1"/>
  <c r="M33" i="41" s="1"/>
  <c r="M35" i="41" s="1"/>
  <c r="N5" i="41"/>
  <c r="M8" i="39"/>
  <c r="M11" i="39" s="1"/>
  <c r="M20" i="39" s="1"/>
  <c r="M33" i="39" s="1"/>
  <c r="M35" i="39" s="1"/>
  <c r="N5" i="39"/>
  <c r="R8" i="30"/>
  <c r="R11" i="30" s="1"/>
  <c r="R20" i="30" s="1"/>
  <c r="R33" i="30" s="1"/>
  <c r="R35" i="30" s="1"/>
  <c r="S5" i="30"/>
  <c r="N5" i="35"/>
  <c r="M8" i="35"/>
  <c r="M11" i="35" s="1"/>
  <c r="M20" i="35" s="1"/>
  <c r="M33" i="35" s="1"/>
  <c r="M35" i="35" s="1"/>
  <c r="S8" i="32"/>
  <c r="S11" i="32" s="1"/>
  <c r="S20" i="32" s="1"/>
  <c r="S33" i="32" s="1"/>
  <c r="S35" i="32" s="1"/>
  <c r="T5" i="32"/>
  <c r="T8" i="28"/>
  <c r="T11" i="28" s="1"/>
  <c r="T20" i="28" s="1"/>
  <c r="T33" i="28" s="1"/>
  <c r="T35" i="28" s="1"/>
  <c r="U5" i="28"/>
  <c r="M7" i="8"/>
  <c r="C53" i="8"/>
  <c r="G26" i="8"/>
  <c r="F106" i="8"/>
  <c r="C97" i="8"/>
  <c r="C62" i="8"/>
  <c r="C115" i="8"/>
  <c r="H35" i="8"/>
  <c r="C88" i="8"/>
  <c r="C79" i="8"/>
  <c r="C71" i="8"/>
  <c r="J17" i="8"/>
  <c r="I44" i="8"/>
  <c r="M8" i="27" l="1"/>
  <c r="M11" i="27" s="1"/>
  <c r="M20" i="27" s="1"/>
  <c r="M33" i="27" s="1"/>
  <c r="M35" i="27" s="1"/>
  <c r="M6" i="27"/>
  <c r="N5" i="27"/>
  <c r="O5" i="33"/>
  <c r="O8" i="33" s="1"/>
  <c r="O11" i="33" s="1"/>
  <c r="O20" i="33" s="1"/>
  <c r="O33" i="33" s="1"/>
  <c r="O35" i="33" s="1"/>
  <c r="S5" i="29"/>
  <c r="R8" i="29"/>
  <c r="R11" i="29" s="1"/>
  <c r="R20" i="29" s="1"/>
  <c r="R33" i="29" s="1"/>
  <c r="R35" i="29" s="1"/>
  <c r="N8" i="36"/>
  <c r="N11" i="36" s="1"/>
  <c r="N20" i="36" s="1"/>
  <c r="N33" i="36" s="1"/>
  <c r="N35" i="36" s="1"/>
  <c r="O5" i="36"/>
  <c r="N8" i="38"/>
  <c r="N11" i="38" s="1"/>
  <c r="N20" i="38" s="1"/>
  <c r="N33" i="38" s="1"/>
  <c r="N35" i="38" s="1"/>
  <c r="O5" i="38"/>
  <c r="S8" i="30"/>
  <c r="S11" i="30" s="1"/>
  <c r="S20" i="30" s="1"/>
  <c r="S33" i="30" s="1"/>
  <c r="S35" i="30" s="1"/>
  <c r="T5" i="30"/>
  <c r="N8" i="41"/>
  <c r="N11" i="41" s="1"/>
  <c r="N20" i="41" s="1"/>
  <c r="N33" i="41" s="1"/>
  <c r="N35" i="41" s="1"/>
  <c r="O5" i="41"/>
  <c r="N8" i="34"/>
  <c r="N11" i="34" s="1"/>
  <c r="N20" i="34" s="1"/>
  <c r="N33" i="34" s="1"/>
  <c r="N35" i="34" s="1"/>
  <c r="O5" i="34"/>
  <c r="N8" i="39"/>
  <c r="N11" i="39" s="1"/>
  <c r="N20" i="39" s="1"/>
  <c r="N33" i="39" s="1"/>
  <c r="N35" i="39" s="1"/>
  <c r="O5" i="39"/>
  <c r="Q8" i="40"/>
  <c r="Q11" i="40" s="1"/>
  <c r="Q20" i="40" s="1"/>
  <c r="Q33" i="40" s="1"/>
  <c r="Q35" i="40" s="1"/>
  <c r="R5" i="40"/>
  <c r="T8" i="32"/>
  <c r="T11" i="32" s="1"/>
  <c r="T20" i="32" s="1"/>
  <c r="T33" i="32" s="1"/>
  <c r="T35" i="32" s="1"/>
  <c r="U5" i="32"/>
  <c r="V5" i="28"/>
  <c r="U8" i="28"/>
  <c r="U11" i="28" s="1"/>
  <c r="U20" i="28" s="1"/>
  <c r="U33" i="28" s="1"/>
  <c r="U35" i="28" s="1"/>
  <c r="O5" i="35"/>
  <c r="N8" i="35"/>
  <c r="N11" i="35" s="1"/>
  <c r="N20" i="35" s="1"/>
  <c r="N33" i="35" s="1"/>
  <c r="N35" i="35" s="1"/>
  <c r="C9" i="8"/>
  <c r="D53" i="8"/>
  <c r="H26" i="8"/>
  <c r="D88" i="8"/>
  <c r="D115" i="8"/>
  <c r="G106" i="8"/>
  <c r="D79" i="8"/>
  <c r="I35" i="8"/>
  <c r="D62" i="8"/>
  <c r="D97" i="8"/>
  <c r="J44" i="8"/>
  <c r="K17" i="8"/>
  <c r="D71" i="8"/>
  <c r="N8" i="27" l="1"/>
  <c r="N11" i="27" s="1"/>
  <c r="N20" i="27" s="1"/>
  <c r="N33" i="27" s="1"/>
  <c r="N35" i="27" s="1"/>
  <c r="O5" i="27"/>
  <c r="P5" i="33"/>
  <c r="Q5" i="33" s="1"/>
  <c r="S8" i="29"/>
  <c r="S11" i="29" s="1"/>
  <c r="S20" i="29" s="1"/>
  <c r="S33" i="29" s="1"/>
  <c r="S35" i="29" s="1"/>
  <c r="T5" i="29"/>
  <c r="P5" i="39"/>
  <c r="O8" i="39"/>
  <c r="O11" i="39" s="1"/>
  <c r="O20" i="39" s="1"/>
  <c r="O33" i="39" s="1"/>
  <c r="O35" i="39" s="1"/>
  <c r="P5" i="34"/>
  <c r="O8" i="34"/>
  <c r="O11" i="34" s="1"/>
  <c r="O20" i="34" s="1"/>
  <c r="O33" i="34" s="1"/>
  <c r="O35" i="34" s="1"/>
  <c r="T8" i="30"/>
  <c r="T11" i="30" s="1"/>
  <c r="T20" i="30" s="1"/>
  <c r="T33" i="30" s="1"/>
  <c r="T35" i="30" s="1"/>
  <c r="U5" i="30"/>
  <c r="O8" i="36"/>
  <c r="O11" i="36" s="1"/>
  <c r="O20" i="36" s="1"/>
  <c r="O33" i="36" s="1"/>
  <c r="O35" i="36" s="1"/>
  <c r="P5" i="36"/>
  <c r="S5" i="40"/>
  <c r="R8" i="40"/>
  <c r="R11" i="40" s="1"/>
  <c r="R20" i="40" s="1"/>
  <c r="R33" i="40" s="1"/>
  <c r="R35" i="40" s="1"/>
  <c r="P5" i="41"/>
  <c r="O8" i="41"/>
  <c r="O11" i="41" s="1"/>
  <c r="O20" i="41" s="1"/>
  <c r="O33" i="41" s="1"/>
  <c r="O35" i="41" s="1"/>
  <c r="P5" i="38"/>
  <c r="O8" i="38"/>
  <c r="O11" i="38" s="1"/>
  <c r="O20" i="38" s="1"/>
  <c r="O33" i="38" s="1"/>
  <c r="O35" i="38" s="1"/>
  <c r="O8" i="35"/>
  <c r="O11" i="35" s="1"/>
  <c r="O20" i="35" s="1"/>
  <c r="O33" i="35" s="1"/>
  <c r="O35" i="35" s="1"/>
  <c r="P5" i="35"/>
  <c r="W5" i="28"/>
  <c r="V8" i="28"/>
  <c r="V11" i="28" s="1"/>
  <c r="V20" i="28" s="1"/>
  <c r="V33" i="28" s="1"/>
  <c r="V35" i="28" s="1"/>
  <c r="U8" i="32"/>
  <c r="U11" i="32" s="1"/>
  <c r="U20" i="32" s="1"/>
  <c r="U33" i="32" s="1"/>
  <c r="U35" i="32" s="1"/>
  <c r="V5" i="32"/>
  <c r="D9" i="8"/>
  <c r="E53" i="8"/>
  <c r="I26" i="8"/>
  <c r="E62" i="8"/>
  <c r="F53" i="8"/>
  <c r="E88" i="8"/>
  <c r="E79" i="8"/>
  <c r="E97" i="8"/>
  <c r="H106" i="8"/>
  <c r="E115" i="8"/>
  <c r="J35" i="8"/>
  <c r="L17" i="8"/>
  <c r="K44" i="8"/>
  <c r="E71" i="8"/>
  <c r="O8" i="27" l="1"/>
  <c r="O11" i="27" s="1"/>
  <c r="O20" i="27" s="1"/>
  <c r="O33" i="27" s="1"/>
  <c r="O35" i="27" s="1"/>
  <c r="P5" i="27"/>
  <c r="P8" i="33"/>
  <c r="P11" i="33" s="1"/>
  <c r="P20" i="33" s="1"/>
  <c r="P33" i="33" s="1"/>
  <c r="P35" i="33" s="1"/>
  <c r="U5" i="29"/>
  <c r="T8" i="29"/>
  <c r="T11" i="29" s="1"/>
  <c r="T20" i="29" s="1"/>
  <c r="T33" i="29" s="1"/>
  <c r="T35" i="29" s="1"/>
  <c r="V5" i="30"/>
  <c r="U8" i="30"/>
  <c r="U11" i="30" s="1"/>
  <c r="U20" i="30" s="1"/>
  <c r="U33" i="30" s="1"/>
  <c r="U35" i="30" s="1"/>
  <c r="P8" i="41"/>
  <c r="P11" i="41" s="1"/>
  <c r="P20" i="41" s="1"/>
  <c r="P33" i="41" s="1"/>
  <c r="P35" i="41" s="1"/>
  <c r="Q5" i="41"/>
  <c r="T5" i="40"/>
  <c r="S8" i="40"/>
  <c r="S11" i="40" s="1"/>
  <c r="S20" i="40" s="1"/>
  <c r="S33" i="40" s="1"/>
  <c r="S35" i="40" s="1"/>
  <c r="P8" i="39"/>
  <c r="P11" i="39" s="1"/>
  <c r="P20" i="39" s="1"/>
  <c r="P33" i="39" s="1"/>
  <c r="P35" i="39" s="1"/>
  <c r="Q5" i="39"/>
  <c r="P8" i="36"/>
  <c r="P11" i="36" s="1"/>
  <c r="P20" i="36" s="1"/>
  <c r="P33" i="36" s="1"/>
  <c r="P35" i="36" s="1"/>
  <c r="Q5" i="36"/>
  <c r="P8" i="38"/>
  <c r="P11" i="38" s="1"/>
  <c r="P20" i="38" s="1"/>
  <c r="P33" i="38" s="1"/>
  <c r="P35" i="38" s="1"/>
  <c r="Q5" i="38"/>
  <c r="R5" i="33"/>
  <c r="Q8" i="33"/>
  <c r="Q11" i="33" s="1"/>
  <c r="Q20" i="33" s="1"/>
  <c r="Q33" i="33" s="1"/>
  <c r="P8" i="34"/>
  <c r="P11" i="34" s="1"/>
  <c r="P20" i="34" s="1"/>
  <c r="P33" i="34" s="1"/>
  <c r="P35" i="34" s="1"/>
  <c r="Q5" i="34"/>
  <c r="P8" i="35"/>
  <c r="P11" i="35" s="1"/>
  <c r="P20" i="35" s="1"/>
  <c r="P33" i="35" s="1"/>
  <c r="P35" i="35" s="1"/>
  <c r="Q5" i="35"/>
  <c r="V8" i="32"/>
  <c r="V11" i="32" s="1"/>
  <c r="V20" i="32" s="1"/>
  <c r="V33" i="32" s="1"/>
  <c r="V35" i="32" s="1"/>
  <c r="W5" i="32"/>
  <c r="X5" i="28"/>
  <c r="Y5" i="28"/>
  <c r="W8" i="28"/>
  <c r="W11" i="28" s="1"/>
  <c r="W20" i="28" s="1"/>
  <c r="W33" i="28" s="1"/>
  <c r="W35" i="28" s="1"/>
  <c r="E9" i="8"/>
  <c r="J26" i="8"/>
  <c r="F115" i="8"/>
  <c r="F97" i="8"/>
  <c r="F88" i="8"/>
  <c r="F62" i="8"/>
  <c r="K35" i="8"/>
  <c r="I106" i="8"/>
  <c r="G53" i="8"/>
  <c r="F79" i="8"/>
  <c r="L44" i="8"/>
  <c r="M17" i="8"/>
  <c r="F71" i="8"/>
  <c r="N17" i="8"/>
  <c r="Q35" i="33" l="1"/>
  <c r="P8" i="27"/>
  <c r="P11" i="27" s="1"/>
  <c r="P20" i="27" s="1"/>
  <c r="P33" i="27" s="1"/>
  <c r="P35" i="27" s="1"/>
  <c r="Q5" i="27"/>
  <c r="U8" i="29"/>
  <c r="U11" i="29" s="1"/>
  <c r="U20" i="29" s="1"/>
  <c r="U33" i="29" s="1"/>
  <c r="U35" i="29" s="1"/>
  <c r="V5" i="29"/>
  <c r="R5" i="36"/>
  <c r="Q8" i="36"/>
  <c r="Q11" i="36" s="1"/>
  <c r="Q20" i="36" s="1"/>
  <c r="Q33" i="36" s="1"/>
  <c r="Q35" i="36" s="1"/>
  <c r="R8" i="33"/>
  <c r="R11" i="33" s="1"/>
  <c r="R20" i="33" s="1"/>
  <c r="R33" i="33" s="1"/>
  <c r="R35" i="33" s="1"/>
  <c r="S5" i="33"/>
  <c r="U5" i="40"/>
  <c r="T8" i="40"/>
  <c r="T11" i="40" s="1"/>
  <c r="T20" i="40" s="1"/>
  <c r="T33" i="40" s="1"/>
  <c r="T35" i="40" s="1"/>
  <c r="W5" i="30"/>
  <c r="V8" i="30"/>
  <c r="V11" i="30" s="1"/>
  <c r="V20" i="30" s="1"/>
  <c r="V33" i="30" s="1"/>
  <c r="V35" i="30" s="1"/>
  <c r="R5" i="34"/>
  <c r="Q8" i="34"/>
  <c r="Q11" i="34" s="1"/>
  <c r="Q20" i="34" s="1"/>
  <c r="Q33" i="34" s="1"/>
  <c r="Q35" i="34" s="1"/>
  <c r="R5" i="38"/>
  <c r="Q8" i="38"/>
  <c r="Q11" i="38" s="1"/>
  <c r="Q20" i="38" s="1"/>
  <c r="Q33" i="38" s="1"/>
  <c r="Q35" i="38" s="1"/>
  <c r="R5" i="39"/>
  <c r="Q8" i="39"/>
  <c r="Q11" i="39" s="1"/>
  <c r="Q20" i="39" s="1"/>
  <c r="Q33" i="39" s="1"/>
  <c r="Q35" i="39" s="1"/>
  <c r="R5" i="41"/>
  <c r="Q8" i="41"/>
  <c r="Q11" i="41" s="1"/>
  <c r="Q20" i="41" s="1"/>
  <c r="Q33" i="41" s="1"/>
  <c r="Q35" i="41" s="1"/>
  <c r="Y8" i="28"/>
  <c r="Y11" i="28" s="1"/>
  <c r="Y20" i="28" s="1"/>
  <c r="Z5" i="28"/>
  <c r="R5" i="35"/>
  <c r="Q8" i="35"/>
  <c r="Q11" i="35" s="1"/>
  <c r="Q20" i="35" s="1"/>
  <c r="Q33" i="35" s="1"/>
  <c r="Q35" i="35" s="1"/>
  <c r="X8" i="28"/>
  <c r="X11" i="28" s="1"/>
  <c r="X20" i="28" s="1"/>
  <c r="X33" i="28" s="1"/>
  <c r="X35" i="28" s="1"/>
  <c r="W8" i="32"/>
  <c r="W11" i="32" s="1"/>
  <c r="W20" i="32" s="1"/>
  <c r="W33" i="32" s="1"/>
  <c r="W35" i="32" s="1"/>
  <c r="Y5" i="32"/>
  <c r="X5" i="32"/>
  <c r="F9" i="8"/>
  <c r="K26" i="8"/>
  <c r="L35" i="8"/>
  <c r="G88" i="8"/>
  <c r="G115" i="8"/>
  <c r="H53" i="8"/>
  <c r="G79" i="8"/>
  <c r="J106" i="8"/>
  <c r="G62" i="8"/>
  <c r="G97" i="8"/>
  <c r="N44" i="8"/>
  <c r="O17" i="8"/>
  <c r="G71" i="8"/>
  <c r="M44" i="8"/>
  <c r="R5" i="27" l="1"/>
  <c r="Q8" i="27"/>
  <c r="Q11" i="27" s="1"/>
  <c r="Q20" i="27" s="1"/>
  <c r="Q33" i="27" s="1"/>
  <c r="Q35" i="27" s="1"/>
  <c r="W5" i="29"/>
  <c r="V8" i="29"/>
  <c r="V11" i="29" s="1"/>
  <c r="V20" i="29" s="1"/>
  <c r="V33" i="29" s="1"/>
  <c r="V35" i="29" s="1"/>
  <c r="R8" i="39"/>
  <c r="R11" i="39" s="1"/>
  <c r="R20" i="39" s="1"/>
  <c r="R33" i="39" s="1"/>
  <c r="R35" i="39" s="1"/>
  <c r="S5" i="39"/>
  <c r="S5" i="34"/>
  <c r="R8" i="34"/>
  <c r="R11" i="34" s="1"/>
  <c r="R20" i="34" s="1"/>
  <c r="R33" i="34" s="1"/>
  <c r="R35" i="34" s="1"/>
  <c r="V5" i="40"/>
  <c r="U8" i="40"/>
  <c r="U11" i="40" s="1"/>
  <c r="U20" i="40" s="1"/>
  <c r="U33" i="40" s="1"/>
  <c r="U35" i="40" s="1"/>
  <c r="R8" i="36"/>
  <c r="R11" i="36" s="1"/>
  <c r="R20" i="36" s="1"/>
  <c r="R33" i="36" s="1"/>
  <c r="R35" i="36" s="1"/>
  <c r="S5" i="36"/>
  <c r="S8" i="33"/>
  <c r="S11" i="33" s="1"/>
  <c r="S20" i="33" s="1"/>
  <c r="S33" i="33" s="1"/>
  <c r="S35" i="33" s="1"/>
  <c r="T5" i="33"/>
  <c r="R8" i="41"/>
  <c r="R11" i="41" s="1"/>
  <c r="R20" i="41" s="1"/>
  <c r="R33" i="41" s="1"/>
  <c r="R35" i="41" s="1"/>
  <c r="S5" i="41"/>
  <c r="R8" i="38"/>
  <c r="R11" i="38" s="1"/>
  <c r="R20" i="38" s="1"/>
  <c r="R33" i="38" s="1"/>
  <c r="R35" i="38" s="1"/>
  <c r="S5" i="38"/>
  <c r="W8" i="30"/>
  <c r="W11" i="30" s="1"/>
  <c r="W20" i="30" s="1"/>
  <c r="W33" i="30" s="1"/>
  <c r="W35" i="30" s="1"/>
  <c r="X5" i="30"/>
  <c r="Y5" i="30"/>
  <c r="X8" i="32"/>
  <c r="X11" i="32" s="1"/>
  <c r="X20" i="32" s="1"/>
  <c r="X33" i="32" s="1"/>
  <c r="X35" i="32" s="1"/>
  <c r="S5" i="35"/>
  <c r="R8" i="35"/>
  <c r="R11" i="35" s="1"/>
  <c r="R20" i="35" s="1"/>
  <c r="R33" i="35" s="1"/>
  <c r="R35" i="35" s="1"/>
  <c r="Z8" i="28"/>
  <c r="Z11" i="28" s="1"/>
  <c r="Z20" i="28" s="1"/>
  <c r="AA5" i="28"/>
  <c r="Z5" i="32"/>
  <c r="Y8" i="32"/>
  <c r="Y11" i="32" s="1"/>
  <c r="Y20" i="32" s="1"/>
  <c r="G9" i="8"/>
  <c r="L26" i="8"/>
  <c r="H97" i="8"/>
  <c r="I53" i="8"/>
  <c r="H88" i="8"/>
  <c r="H62" i="8"/>
  <c r="H79" i="8"/>
  <c r="H115" i="8"/>
  <c r="M35" i="8"/>
  <c r="K106" i="8"/>
  <c r="N35" i="8"/>
  <c r="H71" i="8"/>
  <c r="P17" i="8"/>
  <c r="O44" i="8"/>
  <c r="S5" i="27" l="1"/>
  <c r="R8" i="27"/>
  <c r="R11" i="27" s="1"/>
  <c r="R20" i="27" s="1"/>
  <c r="R33" i="27" s="1"/>
  <c r="R35" i="27" s="1"/>
  <c r="Y5" i="29"/>
  <c r="X5" i="29"/>
  <c r="W8" i="29"/>
  <c r="W11" i="29" s="1"/>
  <c r="W20" i="29" s="1"/>
  <c r="W33" i="29" s="1"/>
  <c r="W35" i="29" s="1"/>
  <c r="Z5" i="30"/>
  <c r="Y8" i="30"/>
  <c r="Y11" i="30" s="1"/>
  <c r="Y20" i="30" s="1"/>
  <c r="W5" i="40"/>
  <c r="V8" i="40"/>
  <c r="V11" i="40" s="1"/>
  <c r="V20" i="40" s="1"/>
  <c r="V33" i="40" s="1"/>
  <c r="V35" i="40" s="1"/>
  <c r="X8" i="30"/>
  <c r="X11" i="30" s="1"/>
  <c r="X20" i="30" s="1"/>
  <c r="X33" i="30" s="1"/>
  <c r="X35" i="30" s="1"/>
  <c r="T5" i="41"/>
  <c r="S8" i="41"/>
  <c r="S11" i="41" s="1"/>
  <c r="S20" i="41" s="1"/>
  <c r="S33" i="41" s="1"/>
  <c r="S35" i="41" s="1"/>
  <c r="T5" i="36"/>
  <c r="S8" i="36"/>
  <c r="S11" i="36" s="1"/>
  <c r="S20" i="36" s="1"/>
  <c r="S33" i="36" s="1"/>
  <c r="S35" i="36" s="1"/>
  <c r="S8" i="34"/>
  <c r="S11" i="34" s="1"/>
  <c r="S20" i="34" s="1"/>
  <c r="S33" i="34" s="1"/>
  <c r="S35" i="34" s="1"/>
  <c r="T5" i="34"/>
  <c r="T5" i="38"/>
  <c r="S8" i="38"/>
  <c r="S11" i="38" s="1"/>
  <c r="S20" i="38" s="1"/>
  <c r="S33" i="38" s="1"/>
  <c r="S35" i="38" s="1"/>
  <c r="T8" i="33"/>
  <c r="T11" i="33" s="1"/>
  <c r="T20" i="33" s="1"/>
  <c r="T33" i="33" s="1"/>
  <c r="T35" i="33" s="1"/>
  <c r="U5" i="33"/>
  <c r="T5" i="39"/>
  <c r="S8" i="39"/>
  <c r="S11" i="39" s="1"/>
  <c r="S20" i="39" s="1"/>
  <c r="S33" i="39" s="1"/>
  <c r="S35" i="39" s="1"/>
  <c r="O12" i="8"/>
  <c r="Z8" i="32"/>
  <c r="Z11" i="32" s="1"/>
  <c r="Z20" i="32" s="1"/>
  <c r="AA5" i="32"/>
  <c r="AA8" i="28"/>
  <c r="AA11" i="28" s="1"/>
  <c r="AA20" i="28" s="1"/>
  <c r="T5" i="35"/>
  <c r="S8" i="35"/>
  <c r="S11" i="35" s="1"/>
  <c r="S20" i="35" s="1"/>
  <c r="S33" i="35" s="1"/>
  <c r="S35" i="35" s="1"/>
  <c r="H9" i="8"/>
  <c r="N26" i="8"/>
  <c r="M26" i="8"/>
  <c r="I115" i="8"/>
  <c r="L106" i="8"/>
  <c r="I62" i="8"/>
  <c r="J53" i="8"/>
  <c r="I79" i="8"/>
  <c r="I88" i="8"/>
  <c r="I97" i="8"/>
  <c r="O35" i="8"/>
  <c r="P44" i="8"/>
  <c r="I71" i="8"/>
  <c r="T5" i="27" l="1"/>
  <c r="S8" i="27"/>
  <c r="S11" i="27" s="1"/>
  <c r="S20" i="27" s="1"/>
  <c r="S33" i="27" s="1"/>
  <c r="S35" i="27" s="1"/>
  <c r="X8" i="29"/>
  <c r="X11" i="29" s="1"/>
  <c r="X20" i="29" s="1"/>
  <c r="X33" i="29" s="1"/>
  <c r="X35" i="29" s="1"/>
  <c r="Y8" i="29"/>
  <c r="Y11" i="29" s="1"/>
  <c r="Y20" i="29" s="1"/>
  <c r="Z5" i="29"/>
  <c r="Z8" i="30"/>
  <c r="Z11" i="30" s="1"/>
  <c r="Z20" i="30" s="1"/>
  <c r="AA5" i="30"/>
  <c r="U5" i="39"/>
  <c r="T8" i="39"/>
  <c r="T11" i="39" s="1"/>
  <c r="T20" i="39" s="1"/>
  <c r="T33" i="39" s="1"/>
  <c r="T35" i="39" s="1"/>
  <c r="U5" i="38"/>
  <c r="T8" i="38"/>
  <c r="T11" i="38" s="1"/>
  <c r="T20" i="38" s="1"/>
  <c r="T33" i="38" s="1"/>
  <c r="T35" i="38" s="1"/>
  <c r="T8" i="36"/>
  <c r="T11" i="36" s="1"/>
  <c r="T20" i="36" s="1"/>
  <c r="T33" i="36" s="1"/>
  <c r="T35" i="36" s="1"/>
  <c r="U5" i="36"/>
  <c r="V5" i="33"/>
  <c r="U8" i="33"/>
  <c r="U11" i="33" s="1"/>
  <c r="U20" i="33" s="1"/>
  <c r="U33" i="33" s="1"/>
  <c r="U35" i="33" s="1"/>
  <c r="T8" i="34"/>
  <c r="T11" i="34" s="1"/>
  <c r="T20" i="34" s="1"/>
  <c r="T33" i="34" s="1"/>
  <c r="T35" i="34" s="1"/>
  <c r="U5" i="34"/>
  <c r="Y5" i="40"/>
  <c r="W8" i="40"/>
  <c r="W11" i="40" s="1"/>
  <c r="W20" i="40" s="1"/>
  <c r="W33" i="40" s="1"/>
  <c r="W35" i="40" s="1"/>
  <c r="X5" i="40"/>
  <c r="U5" i="41"/>
  <c r="T8" i="41"/>
  <c r="T11" i="41" s="1"/>
  <c r="T20" i="41" s="1"/>
  <c r="T33" i="41" s="1"/>
  <c r="T35" i="41" s="1"/>
  <c r="O39" i="8"/>
  <c r="U5" i="35"/>
  <c r="T8" i="35"/>
  <c r="T11" i="35" s="1"/>
  <c r="T20" i="35" s="1"/>
  <c r="T33" i="35" s="1"/>
  <c r="T35" i="35" s="1"/>
  <c r="AA8" i="32"/>
  <c r="AA11" i="32" s="1"/>
  <c r="AA20" i="32" s="1"/>
  <c r="I9" i="8"/>
  <c r="O26" i="8"/>
  <c r="J88" i="8"/>
  <c r="K53" i="8"/>
  <c r="N106" i="8"/>
  <c r="P35" i="8"/>
  <c r="J97" i="8"/>
  <c r="M106" i="8"/>
  <c r="J79" i="8"/>
  <c r="J62" i="8"/>
  <c r="J115" i="8"/>
  <c r="J71" i="8"/>
  <c r="U5" i="27" l="1"/>
  <c r="T8" i="27"/>
  <c r="T11" i="27" s="1"/>
  <c r="T20" i="27" s="1"/>
  <c r="T33" i="27" s="1"/>
  <c r="T35" i="27" s="1"/>
  <c r="AA5" i="29"/>
  <c r="Z8" i="29"/>
  <c r="Z11" i="29" s="1"/>
  <c r="Z20" i="29" s="1"/>
  <c r="O30" i="8"/>
  <c r="V5" i="41"/>
  <c r="U8" i="41"/>
  <c r="U11" i="41" s="1"/>
  <c r="U20" i="41" s="1"/>
  <c r="U33" i="41" s="1"/>
  <c r="U35" i="41" s="1"/>
  <c r="V5" i="34"/>
  <c r="U8" i="34"/>
  <c r="U11" i="34" s="1"/>
  <c r="U20" i="34" s="1"/>
  <c r="U33" i="34" s="1"/>
  <c r="U35" i="34" s="1"/>
  <c r="V5" i="36"/>
  <c r="U8" i="36"/>
  <c r="U11" i="36" s="1"/>
  <c r="U20" i="36" s="1"/>
  <c r="U33" i="36" s="1"/>
  <c r="U35" i="36" s="1"/>
  <c r="X8" i="40"/>
  <c r="X11" i="40" s="1"/>
  <c r="X20" i="40" s="1"/>
  <c r="X33" i="40" s="1"/>
  <c r="X35" i="40" s="1"/>
  <c r="U8" i="39"/>
  <c r="U11" i="39" s="1"/>
  <c r="U20" i="39" s="1"/>
  <c r="U33" i="39" s="1"/>
  <c r="U35" i="39" s="1"/>
  <c r="V5" i="39"/>
  <c r="AA8" i="30"/>
  <c r="AA11" i="30" s="1"/>
  <c r="AA20" i="30" s="1"/>
  <c r="Y8" i="40"/>
  <c r="Y11" i="40" s="1"/>
  <c r="Y20" i="40" s="1"/>
  <c r="Z5" i="40"/>
  <c r="W5" i="33"/>
  <c r="V8" i="33"/>
  <c r="V11" i="33" s="1"/>
  <c r="V20" i="33" s="1"/>
  <c r="V33" i="33" s="1"/>
  <c r="V35" i="33" s="1"/>
  <c r="V5" i="38"/>
  <c r="U8" i="38"/>
  <c r="U11" i="38" s="1"/>
  <c r="U20" i="38" s="1"/>
  <c r="U33" i="38" s="1"/>
  <c r="U35" i="38" s="1"/>
  <c r="U8" i="35"/>
  <c r="U11" i="35" s="1"/>
  <c r="U20" i="35" s="1"/>
  <c r="U33" i="35" s="1"/>
  <c r="U35" i="35" s="1"/>
  <c r="V5" i="35"/>
  <c r="J9" i="8"/>
  <c r="P26" i="8"/>
  <c r="K62" i="8"/>
  <c r="K88" i="8"/>
  <c r="O106" i="8"/>
  <c r="K115" i="8"/>
  <c r="K79" i="8"/>
  <c r="K97" i="8"/>
  <c r="L53" i="8"/>
  <c r="K71" i="8"/>
  <c r="U8" i="27" l="1"/>
  <c r="U11" i="27" s="1"/>
  <c r="U20" i="27" s="1"/>
  <c r="U33" i="27" s="1"/>
  <c r="U35" i="27" s="1"/>
  <c r="V5" i="27"/>
  <c r="O21" i="8"/>
  <c r="AA8" i="29"/>
  <c r="AA11" i="29" s="1"/>
  <c r="AA20" i="29" s="1"/>
  <c r="X5" i="33"/>
  <c r="Y5" i="33"/>
  <c r="W8" i="33"/>
  <c r="W11" i="33" s="1"/>
  <c r="W20" i="33" s="1"/>
  <c r="W33" i="33" s="1"/>
  <c r="W35" i="33" s="1"/>
  <c r="V8" i="39"/>
  <c r="V11" i="39" s="1"/>
  <c r="V20" i="39" s="1"/>
  <c r="V33" i="39" s="1"/>
  <c r="V35" i="39" s="1"/>
  <c r="W5" i="39"/>
  <c r="V8" i="36"/>
  <c r="V11" i="36" s="1"/>
  <c r="V20" i="36" s="1"/>
  <c r="V33" i="36" s="1"/>
  <c r="V35" i="36" s="1"/>
  <c r="W5" i="36"/>
  <c r="V8" i="41"/>
  <c r="V11" i="41" s="1"/>
  <c r="V20" i="41" s="1"/>
  <c r="V33" i="41" s="1"/>
  <c r="V35" i="41" s="1"/>
  <c r="W5" i="41"/>
  <c r="Z8" i="40"/>
  <c r="Z11" i="40" s="1"/>
  <c r="Z20" i="40" s="1"/>
  <c r="AA5" i="40"/>
  <c r="W5" i="38"/>
  <c r="V8" i="38"/>
  <c r="V11" i="38" s="1"/>
  <c r="V20" i="38" s="1"/>
  <c r="V33" i="38" s="1"/>
  <c r="V35" i="38" s="1"/>
  <c r="W5" i="34"/>
  <c r="V8" i="34"/>
  <c r="V11" i="34" s="1"/>
  <c r="V20" i="34" s="1"/>
  <c r="V33" i="34" s="1"/>
  <c r="V35" i="34" s="1"/>
  <c r="V8" i="35"/>
  <c r="V11" i="35" s="1"/>
  <c r="V20" i="35" s="1"/>
  <c r="V33" i="35" s="1"/>
  <c r="V35" i="35" s="1"/>
  <c r="W5" i="35"/>
  <c r="K9" i="8"/>
  <c r="N53" i="8"/>
  <c r="L62" i="8"/>
  <c r="L79" i="8"/>
  <c r="P106" i="8"/>
  <c r="L88" i="8"/>
  <c r="M53" i="8"/>
  <c r="L97" i="8"/>
  <c r="L115" i="8"/>
  <c r="L71" i="8"/>
  <c r="V8" i="27" l="1"/>
  <c r="V11" i="27" s="1"/>
  <c r="V20" i="27" s="1"/>
  <c r="V33" i="27" s="1"/>
  <c r="V35" i="27" s="1"/>
  <c r="W5" i="27"/>
  <c r="O101" i="8"/>
  <c r="W8" i="41"/>
  <c r="W11" i="41" s="1"/>
  <c r="W20" i="41" s="1"/>
  <c r="W33" i="41" s="1"/>
  <c r="W35" i="41" s="1"/>
  <c r="X5" i="41"/>
  <c r="Y5" i="41"/>
  <c r="X5" i="39"/>
  <c r="W8" i="39"/>
  <c r="W11" i="39" s="1"/>
  <c r="W20" i="39" s="1"/>
  <c r="W33" i="39" s="1"/>
  <c r="W35" i="39" s="1"/>
  <c r="Y5" i="39"/>
  <c r="X8" i="33"/>
  <c r="X11" i="33" s="1"/>
  <c r="X20" i="33" s="1"/>
  <c r="X33" i="33" s="1"/>
  <c r="X35" i="33" s="1"/>
  <c r="X5" i="38"/>
  <c r="W8" i="38"/>
  <c r="W11" i="38" s="1"/>
  <c r="W20" i="38" s="1"/>
  <c r="W33" i="38" s="1"/>
  <c r="W35" i="38" s="1"/>
  <c r="Y5" i="38"/>
  <c r="AA8" i="40"/>
  <c r="AA11" i="40" s="1"/>
  <c r="AA20" i="40" s="1"/>
  <c r="X5" i="36"/>
  <c r="Y5" i="36"/>
  <c r="W8" i="36"/>
  <c r="W11" i="36" s="1"/>
  <c r="W20" i="36" s="1"/>
  <c r="W33" i="36" s="1"/>
  <c r="W35" i="36" s="1"/>
  <c r="W8" i="34"/>
  <c r="W11" i="34" s="1"/>
  <c r="W20" i="34" s="1"/>
  <c r="W33" i="34" s="1"/>
  <c r="W35" i="34" s="1"/>
  <c r="Y5" i="34"/>
  <c r="X5" i="34"/>
  <c r="Y8" i="33"/>
  <c r="Y11" i="33" s="1"/>
  <c r="Y20" i="33" s="1"/>
  <c r="Z5" i="33"/>
  <c r="W8" i="35"/>
  <c r="W11" i="35" s="1"/>
  <c r="W20" i="35" s="1"/>
  <c r="W33" i="35" s="1"/>
  <c r="W35" i="35" s="1"/>
  <c r="X5" i="35"/>
  <c r="Y5" i="35"/>
  <c r="L9" i="8"/>
  <c r="M115" i="8"/>
  <c r="N97" i="8"/>
  <c r="N88" i="8"/>
  <c r="N115" i="8"/>
  <c r="O53" i="8"/>
  <c r="M97" i="8"/>
  <c r="M88" i="8"/>
  <c r="M79" i="8"/>
  <c r="N62" i="8"/>
  <c r="N79" i="8"/>
  <c r="M62" i="8"/>
  <c r="N71" i="8"/>
  <c r="M71" i="8"/>
  <c r="W8" i="27" l="1"/>
  <c r="W11" i="27" s="1"/>
  <c r="W20" i="27" s="1"/>
  <c r="W33" i="27" s="1"/>
  <c r="W35" i="27" s="1"/>
  <c r="X5" i="27"/>
  <c r="Y5" i="27"/>
  <c r="X8" i="34"/>
  <c r="X11" i="34" s="1"/>
  <c r="X20" i="34" s="1"/>
  <c r="X33" i="34" s="1"/>
  <c r="X35" i="34" s="1"/>
  <c r="Z5" i="36"/>
  <c r="Y8" i="36"/>
  <c r="Y11" i="36" s="1"/>
  <c r="Y20" i="36" s="1"/>
  <c r="Z5" i="34"/>
  <c r="Y8" i="34"/>
  <c r="Y11" i="34" s="1"/>
  <c r="Y20" i="34" s="1"/>
  <c r="X8" i="36"/>
  <c r="X11" i="36" s="1"/>
  <c r="X20" i="36" s="1"/>
  <c r="X33" i="36" s="1"/>
  <c r="X35" i="36" s="1"/>
  <c r="X8" i="38"/>
  <c r="X11" i="38" s="1"/>
  <c r="X20" i="38" s="1"/>
  <c r="X33" i="38" s="1"/>
  <c r="X35" i="38" s="1"/>
  <c r="X8" i="39"/>
  <c r="X11" i="39" s="1"/>
  <c r="X20" i="39" s="1"/>
  <c r="X33" i="39" s="1"/>
  <c r="X35" i="39" s="1"/>
  <c r="Z8" i="33"/>
  <c r="Z11" i="33" s="1"/>
  <c r="Z20" i="33" s="1"/>
  <c r="AA5" i="33"/>
  <c r="Z5" i="41"/>
  <c r="Y8" i="41"/>
  <c r="Y11" i="41" s="1"/>
  <c r="Y20" i="41" s="1"/>
  <c r="Y8" i="38"/>
  <c r="Y11" i="38" s="1"/>
  <c r="Y20" i="38" s="1"/>
  <c r="Z5" i="38"/>
  <c r="Y8" i="39"/>
  <c r="Y11" i="39" s="1"/>
  <c r="Y20" i="39" s="1"/>
  <c r="Z5" i="39"/>
  <c r="X8" i="41"/>
  <c r="X11" i="41" s="1"/>
  <c r="X20" i="41" s="1"/>
  <c r="X33" i="41" s="1"/>
  <c r="X35" i="41" s="1"/>
  <c r="X8" i="35"/>
  <c r="X11" i="35" s="1"/>
  <c r="X20" i="35" s="1"/>
  <c r="X33" i="35" s="1"/>
  <c r="X35" i="35" s="1"/>
  <c r="Y8" i="35"/>
  <c r="Y11" i="35" s="1"/>
  <c r="Y20" i="35" s="1"/>
  <c r="Z5" i="35"/>
  <c r="M9" i="8"/>
  <c r="N9" i="8"/>
  <c r="O115" i="8"/>
  <c r="O62" i="8"/>
  <c r="O97" i="8"/>
  <c r="O79" i="8"/>
  <c r="P53" i="8"/>
  <c r="O88" i="8"/>
  <c r="O71" i="8"/>
  <c r="Z5" i="27" l="1"/>
  <c r="Y8" i="27"/>
  <c r="Y11" i="27" s="1"/>
  <c r="Y20" i="27" s="1"/>
  <c r="X8" i="27"/>
  <c r="X11" i="27" s="1"/>
  <c r="X20" i="27" s="1"/>
  <c r="X33" i="27" s="1"/>
  <c r="X35" i="27" s="1"/>
  <c r="O48" i="8"/>
  <c r="AA5" i="38"/>
  <c r="Z8" i="38"/>
  <c r="Z11" i="38" s="1"/>
  <c r="Z20" i="38" s="1"/>
  <c r="AA8" i="33"/>
  <c r="AA11" i="33" s="1"/>
  <c r="AA20" i="33" s="1"/>
  <c r="AA5" i="36"/>
  <c r="Z8" i="36"/>
  <c r="Z11" i="36" s="1"/>
  <c r="Z20" i="36" s="1"/>
  <c r="AA5" i="39"/>
  <c r="Z8" i="39"/>
  <c r="Z11" i="39" s="1"/>
  <c r="Z20" i="39" s="1"/>
  <c r="AA5" i="34"/>
  <c r="Z8" i="34"/>
  <c r="Z11" i="34" s="1"/>
  <c r="Z20" i="34" s="1"/>
  <c r="AA5" i="41"/>
  <c r="Z8" i="41"/>
  <c r="Z11" i="41" s="1"/>
  <c r="Z20" i="41" s="1"/>
  <c r="AA5" i="35"/>
  <c r="Z8" i="35"/>
  <c r="Z11" i="35" s="1"/>
  <c r="Z20" i="35" s="1"/>
  <c r="O9" i="8"/>
  <c r="P79" i="8"/>
  <c r="P62" i="8"/>
  <c r="P88" i="8"/>
  <c r="P97" i="8"/>
  <c r="P115" i="8"/>
  <c r="P71" i="8"/>
  <c r="AA5" i="27" l="1"/>
  <c r="Z8" i="27"/>
  <c r="Z11" i="27" s="1"/>
  <c r="Z20" i="27" s="1"/>
  <c r="O110" i="8"/>
  <c r="O92" i="8"/>
  <c r="O83" i="8"/>
  <c r="O57" i="8"/>
  <c r="O74" i="8"/>
  <c r="AA8" i="41"/>
  <c r="AA11" i="41" s="1"/>
  <c r="AA20" i="41" s="1"/>
  <c r="AA8" i="39"/>
  <c r="AA11" i="39" s="1"/>
  <c r="AA20" i="39" s="1"/>
  <c r="AA8" i="38"/>
  <c r="AA11" i="38" s="1"/>
  <c r="AA20" i="38" s="1"/>
  <c r="AA8" i="34"/>
  <c r="AA11" i="34" s="1"/>
  <c r="AA20" i="34" s="1"/>
  <c r="AA8" i="36"/>
  <c r="AA11" i="36" s="1"/>
  <c r="AA20" i="36" s="1"/>
  <c r="O66" i="8"/>
  <c r="AA8" i="35"/>
  <c r="AA11" i="35" s="1"/>
  <c r="AA20" i="35" s="1"/>
  <c r="P9" i="8"/>
  <c r="O4" i="8" l="1"/>
  <c r="AA8" i="27"/>
  <c r="AA11" i="27" s="1"/>
  <c r="AA20" i="27" s="1"/>
</calcChain>
</file>

<file path=xl/comments1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10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11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12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13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14.xml><?xml version="1.0" encoding="utf-8"?>
<comments xmlns="http://schemas.openxmlformats.org/spreadsheetml/2006/main">
  <authors>
    <author>Bruno Merven</author>
    <author>Chris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Based on taux de facturation 2009 table 4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South Africa had 11% in 2006</t>
        </r>
      </text>
    </comment>
    <comment ref="P23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based on estimation by authors of report - near table 11</t>
        </r>
      </text>
    </comment>
    <comment ref="N41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Both data are from the 2011 "cas de base" as no others were available</t>
        </r>
      </text>
    </comment>
    <comment ref="P41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Based on 2007 taux de facturation - only data available - section 3.4.1.2</t>
        </r>
      </text>
    </comment>
    <comment ref="P59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Based on 2009 "taux de facturation" - 2010 not available - table 17</t>
        </r>
      </text>
    </comment>
    <comment ref="N60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This is the estimated demand for 2009 if it could be met by the system</t>
        </r>
      </text>
    </comment>
    <comment ref="P77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No info on this at all, only a reference saying:"Enfin, la NPA fait face à un problème de branchements illégaux et de factures non payées." </t>
        </r>
      </text>
    </comment>
    <comment ref="P95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No mention as to the losses in the report. … </t>
        </r>
      </text>
    </comment>
    <comment ref="P113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based on taux de facturation 2008 - table 30</t>
        </r>
      </text>
    </comment>
    <comment ref="P131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Ventes/consommation interieur brute
Modele Kassi: 5% transmission, 18% distribution</t>
        </r>
      </text>
    </comment>
    <comment ref="U131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See extrapolation calculations and link to CIV tab please...</t>
        </r>
      </text>
    </comment>
    <comment ref="N149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This is from the historical data, I have added domestic demand + export to reach this total. I have not included the imports made in order to cope with the unmet demand
Asami:
Overwriten by the IEA statistics</t>
        </r>
      </text>
    </comment>
    <comment ref="P149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no info was available</t>
        </r>
      </text>
    </comment>
    <comment ref="U151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I've used the historical rate of increase in export (over past 11 years) and applied an arbitrary cap at 1805 GWh - to be discussed and validated. See extrapolation tab</t>
        </r>
      </text>
    </comment>
    <comment ref="P167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Based on 2009 data in report
</t>
        </r>
      </text>
    </comment>
    <comment ref="Q167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2009 data</t>
        </r>
      </text>
    </comment>
    <comment ref="P185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based on taux de facturation - table 45</t>
        </r>
      </text>
    </comment>
    <comment ref="Q185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This is 2009 data</t>
        </r>
      </text>
    </comment>
    <comment ref="A202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4 regions dont 3 désservies par le Nigeria et une par une centrale a charbon</t>
        </r>
      </text>
    </comment>
    <comment ref="N203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2008 data - earliest data availbale in report</t>
        </r>
      </text>
    </comment>
    <comment ref="O203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According to text, the pointe de charge in 2010 is very close to scenario de base (but no data provided…)</t>
        </r>
      </text>
    </comment>
    <comment ref="P203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 the abscence of inforamtion, I've used CIV as baseline</t>
        </r>
      </text>
    </comment>
    <comment ref="Q203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2011 import derived from the addition of 3 zones supplied by Nigeria</t>
        </r>
      </text>
    </comment>
    <comment ref="R221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Extrapolation 2010</t>
        </r>
      </text>
    </comment>
  </commentList>
</comments>
</file>

<file path=xl/comments2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3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4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5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6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7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8.xml><?xml version="1.0" encoding="utf-8"?>
<comments xmlns="http://schemas.openxmlformats.org/spreadsheetml/2006/main">
  <authors>
    <author>Bruno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comments9.xml><?xml version="1.0" encoding="utf-8"?>
<comments xmlns="http://schemas.openxmlformats.org/spreadsheetml/2006/main">
  <authors>
    <author>Bruno Merven</author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from IAEA report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7" authorId="1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1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</commentList>
</comments>
</file>

<file path=xl/sharedStrings.xml><?xml version="1.0" encoding="utf-8"?>
<sst xmlns="http://schemas.openxmlformats.org/spreadsheetml/2006/main" count="2817" uniqueCount="558">
  <si>
    <t>Baseline demand projections downstream of distribution</t>
  </si>
  <si>
    <t>GWh</t>
  </si>
  <si>
    <t>Upstream of distribution</t>
  </si>
  <si>
    <t>National Average Distribution Losses</t>
  </si>
  <si>
    <t>Upstream of transmission</t>
  </si>
  <si>
    <t>National Average Transmission Losses</t>
  </si>
  <si>
    <t>Exports</t>
  </si>
  <si>
    <t>Load Factor</t>
  </si>
  <si>
    <t>Peak demand growth Check</t>
  </si>
  <si>
    <t>MW</t>
  </si>
  <si>
    <t>Growth (calculated)</t>
  </si>
  <si>
    <t>%</t>
  </si>
  <si>
    <t>National Electricity Demand Growth</t>
  </si>
  <si>
    <t>Data Sources</t>
  </si>
  <si>
    <t>Peak Demand on national system incl exports</t>
  </si>
  <si>
    <t>Source Data</t>
  </si>
  <si>
    <t>Countries</t>
  </si>
  <si>
    <t>year</t>
  </si>
  <si>
    <t>Electricity/Final</t>
  </si>
  <si>
    <t>(MWyr)</t>
  </si>
  <si>
    <t>Reserve Calculations</t>
  </si>
  <si>
    <t>Energy Reserves - average year with imports, no exports</t>
  </si>
  <si>
    <t>Energy Reserves - average year with imports, committed exports</t>
  </si>
  <si>
    <t>Energy Reserves - average year without imports, no exports</t>
  </si>
  <si>
    <t>Energy Reserves - average year without imports, committed exports</t>
  </si>
  <si>
    <t>Energy Reserves - dry year without imports, no exports</t>
  </si>
  <si>
    <t>Energy Reserves - dry year without imports, committed exports</t>
  </si>
  <si>
    <t>National Electricity demand Upstream of Transmission</t>
  </si>
  <si>
    <t>National Electricity demand Upstream of distribution</t>
  </si>
  <si>
    <t>MAL</t>
  </si>
  <si>
    <t>Projected committed Exported electricity Country 1 (GWh)</t>
  </si>
  <si>
    <t>Projected committed Exported electricity Country 2 (GWh)</t>
  </si>
  <si>
    <t>Projected committed Exported electricity Country 3 (GWh)</t>
  </si>
  <si>
    <t>Projected committed Exported electricity TOTAL (GWh)</t>
  </si>
  <si>
    <t>Projected committed Exported electricity Country 4 (GWh)</t>
  </si>
  <si>
    <t>Projected committed Exported electricity Country 5 (GWh)</t>
  </si>
  <si>
    <t>National Electricity Demand (downstream of Distribution/sales)</t>
  </si>
  <si>
    <t>Projected load at generation busbar (DEMAND = National + Exports)</t>
  </si>
  <si>
    <t>Energy and Power Balance</t>
  </si>
  <si>
    <t>Projected committed Exported electricity Country 6 (GWh)</t>
  </si>
  <si>
    <t>Electricity/Secondary</t>
  </si>
  <si>
    <t>Exports/Final</t>
  </si>
  <si>
    <t>Main Input</t>
  </si>
  <si>
    <t>Main Output</t>
  </si>
  <si>
    <t>name</t>
  </si>
  <si>
    <t>Main Output (switch c)</t>
  </si>
  <si>
    <t>var costs (switch c)</t>
  </si>
  <si>
    <t>MESSAGE Name</t>
  </si>
  <si>
    <t>alt</t>
  </si>
  <si>
    <t>US$'00/kWyr</t>
  </si>
  <si>
    <t>I</t>
  </si>
  <si>
    <t>IMELC</t>
  </si>
  <si>
    <t>Imports</t>
  </si>
  <si>
    <t xml:space="preserve">Main Input </t>
  </si>
  <si>
    <t>a</t>
  </si>
  <si>
    <t>Electricity/Tertiary</t>
  </si>
  <si>
    <t>Transmission</t>
  </si>
  <si>
    <t>ETrans</t>
  </si>
  <si>
    <t>abda (up) (switch c)</t>
  </si>
  <si>
    <t>MWyr</t>
  </si>
  <si>
    <t>EXELC</t>
  </si>
  <si>
    <t>E</t>
  </si>
  <si>
    <t>CIV</t>
  </si>
  <si>
    <t>Burkina</t>
  </si>
  <si>
    <t>BUR</t>
  </si>
  <si>
    <t>Cape  Verde</t>
  </si>
  <si>
    <t>CAP</t>
  </si>
  <si>
    <t>Cote d'Ivoire</t>
  </si>
  <si>
    <t>Gambia</t>
  </si>
  <si>
    <t>GAM</t>
  </si>
  <si>
    <t>Ghana</t>
  </si>
  <si>
    <t>GHA</t>
  </si>
  <si>
    <t>Guinea</t>
  </si>
  <si>
    <t>GUI</t>
  </si>
  <si>
    <t>Guinea-Bissau</t>
  </si>
  <si>
    <t>GBI</t>
  </si>
  <si>
    <t>Liberia</t>
  </si>
  <si>
    <t>LIB</t>
  </si>
  <si>
    <t>Mali</t>
  </si>
  <si>
    <t>Niger</t>
  </si>
  <si>
    <t>NIG</t>
  </si>
  <si>
    <t>Nigeria</t>
  </si>
  <si>
    <t>NGA</t>
  </si>
  <si>
    <t>Senegal</t>
  </si>
  <si>
    <t>SEN</t>
  </si>
  <si>
    <t>Sierra Leone</t>
  </si>
  <si>
    <t>SIE</t>
  </si>
  <si>
    <t>Imports in 2010</t>
  </si>
  <si>
    <t>Generation in 2010</t>
  </si>
  <si>
    <t>Available Energy (2010) average year</t>
  </si>
  <si>
    <t>Load at generation busbar 2010 check (SUPPLY = Generation + Imports)</t>
  </si>
  <si>
    <t>Energy Forecast</t>
  </si>
  <si>
    <t xml:space="preserve">Annual maximum demand forecast </t>
  </si>
  <si>
    <t>Existing Capacity (2010)</t>
  </si>
  <si>
    <t>Required Import capacity in 2010</t>
  </si>
  <si>
    <t>Available Energy (2010) dry year</t>
  </si>
  <si>
    <t>intrant principal</t>
  </si>
  <si>
    <t>extrant principal</t>
  </si>
  <si>
    <t>Electricite/Secondaire</t>
  </si>
  <si>
    <t>Exports/Finale</t>
  </si>
  <si>
    <t>Electricite/Tertiaire</t>
  </si>
  <si>
    <t>Nom MESSAGE</t>
  </si>
  <si>
    <t>extrant principal (ast: c)</t>
  </si>
  <si>
    <t>couts var</t>
  </si>
  <si>
    <t>nom</t>
  </si>
  <si>
    <t xml:space="preserve"> </t>
  </si>
  <si>
    <r>
      <t xml:space="preserve"> </t>
    </r>
    <r>
      <rPr>
        <sz val="9"/>
        <color indexed="8"/>
        <rFont val="Calibri"/>
        <family val="2"/>
        <scheme val="minor"/>
      </rPr>
      <t xml:space="preserve">Scénario de base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</si>
  <si>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Scénario bas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</si>
  <si>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Scénario haut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</si>
  <si>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[GWh]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</si>
  <si>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</si>
  <si>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</si>
  <si>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</si>
  <si>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</si>
  <si>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</si>
  <si>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</si>
  <si>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</si>
  <si>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</si>
  <si>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</si>
  <si>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</si>
  <si>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</si>
  <si>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</si>
  <si>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</si>
  <si>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</si>
  <si>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</si>
  <si>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[MW]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</si>
  <si>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</si>
  <si>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</si>
  <si>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</si>
  <si>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</si>
  <si>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</si>
  <si>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</si>
  <si>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</si>
  <si>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</si>
  <si>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</si>
  <si>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</si>
  <si>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</si>
  <si>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</si>
  <si>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</si>
  <si>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</si>
  <si>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</si>
  <si>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Cas de base </t>
    </r>
    <r>
      <rPr>
        <sz val="11"/>
        <rFont val="Calibri"/>
        <family val="2"/>
        <scheme val="minor"/>
      </rPr>
      <t xml:space="preserve"> </t>
    </r>
  </si>
  <si>
    <t>Scenario</t>
  </si>
  <si>
    <t>Base Case</t>
  </si>
  <si>
    <t>Low (Bas)</t>
  </si>
  <si>
    <t>High (Haut)</t>
  </si>
  <si>
    <t>Row Reference</t>
  </si>
  <si>
    <t>Pertes/ Losses</t>
  </si>
  <si>
    <t>demande 2010</t>
  </si>
  <si>
    <t>pointe 2010</t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</si>
  <si>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Scénario de base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</si>
  <si>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Scénario bas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</si>
  <si>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Scénario haut </t>
    </r>
    <r>
      <rPr>
        <b/>
        <sz val="11"/>
        <rFont val="Calibri"/>
        <family val="2"/>
        <scheme val="minor"/>
      </rPr>
      <t xml:space="preserve"> </t>
    </r>
  </si>
  <si>
    <t>WAPP Master Plan April 2011</t>
  </si>
  <si>
    <t>Exports + centres isolees</t>
  </si>
  <si>
    <t>Export cost</t>
  </si>
  <si>
    <t>Imports 2010</t>
  </si>
  <si>
    <t>[GWh]</t>
  </si>
  <si>
    <t>Exports/Isolated Centres</t>
  </si>
  <si>
    <t>Exports 2010</t>
  </si>
  <si>
    <t>Pertes/ Losses 2010</t>
  </si>
  <si>
    <t>﻿</t>
  </si>
  <si>
    <t xml:space="preserve">Scénario bas </t>
  </si>
  <si>
    <t xml:space="preserve">Scénario haut </t>
  </si>
  <si>
    <t xml:space="preserve">[GWh] </t>
  </si>
  <si>
    <t xml:space="preserve">[MW] </t>
  </si>
  <si>
    <t>Guinée Bissau</t>
  </si>
  <si>
    <t xml:space="preserve">Cas de base </t>
  </si>
  <si>
    <t xml:space="preserve">﻿2011 </t>
  </si>
  <si>
    <t>Ivory Coast</t>
  </si>
  <si>
    <t xml:space="preserve">Consommation </t>
  </si>
  <si>
    <t xml:space="preserve">Exportation </t>
  </si>
  <si>
    <t xml:space="preserve">Importation </t>
  </si>
  <si>
    <t xml:space="preserve">Production </t>
  </si>
  <si>
    <t xml:space="preserve">Ventes </t>
  </si>
  <si>
    <t xml:space="preserve">Energie non </t>
  </si>
  <si>
    <t xml:space="preserve">intérieure brute </t>
  </si>
  <si>
    <t xml:space="preserve">(Ventes) </t>
  </si>
  <si>
    <t xml:space="preserve">(Achats) </t>
  </si>
  <si>
    <t xml:space="preserve">Nette </t>
  </si>
  <si>
    <t xml:space="preserve">desservie </t>
  </si>
  <si>
    <t xml:space="preserve">[MWh] </t>
  </si>
  <si>
    <t>*Senegal</t>
  </si>
  <si>
    <t>rate of increase/decrease</t>
  </si>
  <si>
    <t>conso</t>
  </si>
  <si>
    <t>export</t>
  </si>
  <si>
    <t>Average</t>
  </si>
  <si>
    <t>extrapolations</t>
  </si>
  <si>
    <r>
      <t xml:space="preserve"> </t>
    </r>
    <r>
      <rPr>
        <sz val="9"/>
        <color indexed="8"/>
        <rFont val="Calibri"/>
        <family val="2"/>
        <scheme val="minor"/>
      </rPr>
      <t xml:space="preserve">Consommation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</si>
  <si>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VALCO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</si>
  <si>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domestique </t>
    </r>
    <r>
      <rPr>
        <sz val="11"/>
        <rFont val="Calibri"/>
        <family val="2"/>
        <scheme val="minor"/>
      </rPr>
      <t xml:space="preserve"> </t>
    </r>
  </si>
  <si>
    <t xml:space="preserve">VALCO </t>
  </si>
  <si>
    <t xml:space="preserve">domestique </t>
  </si>
  <si>
    <t>Benin/Togo</t>
  </si>
  <si>
    <t>Benin et Togo</t>
  </si>
  <si>
    <t>Togo/Benin</t>
  </si>
  <si>
    <t>Togo et Benin</t>
  </si>
  <si>
    <t>TBN</t>
  </si>
  <si>
    <t>TOGO BENIN</t>
  </si>
  <si>
    <r>
      <t xml:space="preserve"> </t>
    </r>
    <r>
      <rPr>
        <sz val="9"/>
        <color indexed="8"/>
        <rFont val="Calibri"/>
        <family val="2"/>
        <scheme val="minor"/>
      </rPr>
      <t xml:space="preserve">Energie produite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</si>
  <si>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Energie importée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</si>
  <si>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Total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</si>
  <si>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Energie facturée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</si>
  <si>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Energie non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</si>
  <si>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totale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</si>
  <si>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desservie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</si>
  <si>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</si>
  <si>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</si>
  <si>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</si>
  <si>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</si>
  <si>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</si>
  <si>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229 </t>
    </r>
    <r>
      <rPr>
        <sz val="11"/>
        <rFont val="Calibri"/>
        <family val="2"/>
        <scheme val="minor"/>
      </rPr>
      <t xml:space="preserve"> </t>
    </r>
  </si>
  <si>
    <t>Loss</t>
  </si>
  <si>
    <t>BURKINA</t>
  </si>
  <si>
    <r>
      <t xml:space="preserve"> </t>
    </r>
    <r>
      <rPr>
        <sz val="9"/>
        <color indexed="8"/>
        <rFont val="Calibri"/>
        <family val="2"/>
        <scheme val="minor"/>
      </rPr>
      <t xml:space="preserve">2004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</si>
  <si>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</si>
  <si>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635 </t>
    </r>
    <r>
      <rPr>
        <sz val="11"/>
        <rFont val="Calibri"/>
        <family val="2"/>
        <scheme val="minor"/>
      </rPr>
      <t xml:space="preserve"> </t>
    </r>
  </si>
  <si>
    <t>NIGER</t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</si>
  <si>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Fleuve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</si>
  <si>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Niger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</si>
  <si>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Nord/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</si>
  <si>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Total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</si>
  <si>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Centre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</si>
  <si>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Est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</si>
  <si>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Agadez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</si>
  <si>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</si>
  <si>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</si>
  <si>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</si>
  <si>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</si>
  <si>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</si>
  <si>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</si>
  <si>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</si>
  <si>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</si>
  <si>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</si>
  <si>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</si>
  <si>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</si>
  <si>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</si>
  <si>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864ransmission to third parties is forbidden without prior written approval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</si>
  <si>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</si>
  <si>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</si>
  <si>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</si>
  <si>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</si>
  <si>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</si>
  <si>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</si>
  <si>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</si>
  <si>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</si>
  <si>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</si>
  <si>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</si>
  <si>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</si>
  <si>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</si>
  <si>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</si>
  <si>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</si>
  <si>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</si>
  <si>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</si>
  <si>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</si>
  <si>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</si>
  <si>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</si>
  <si>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</si>
  <si>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</si>
  <si>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</si>
  <si>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</si>
  <si>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</si>
  <si>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</si>
  <si>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1 024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</si>
  <si>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</si>
  <si>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</si>
  <si>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</si>
  <si>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</si>
  <si>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1 044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</si>
  <si>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</si>
  <si>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</si>
  <si>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</si>
  <si>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</si>
  <si>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</si>
  <si>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</si>
  <si>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</si>
  <si>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</si>
  <si>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</si>
  <si>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</si>
  <si>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</si>
  <si>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</si>
  <si>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</si>
  <si>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</si>
  <si>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</si>
  <si>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</si>
  <si>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1 031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</si>
  <si>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</si>
  <si>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</si>
  <si>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</si>
  <si>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</si>
  <si>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</si>
  <si>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</si>
  <si>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</si>
  <si>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</si>
  <si>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</si>
  <si>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</si>
  <si>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</si>
  <si>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</si>
  <si>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1 083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</si>
  <si>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</si>
  <si>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</si>
  <si>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</si>
  <si>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1 285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</si>
  <si>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</si>
  <si>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</si>
  <si>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</si>
  <si>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1 256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</si>
  <si>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</si>
  <si>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</si>
  <si>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</si>
  <si>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</si>
  <si>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</si>
  <si>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</si>
  <si>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</si>
  <si>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</si>
  <si>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1 379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</si>
  <si>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</si>
  <si>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</si>
  <si>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</si>
  <si>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</si>
  <si>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1 331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</si>
  <si>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</si>
  <si>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</si>
  <si>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</si>
  <si>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</si>
  <si>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</si>
  <si>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</si>
  <si>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</si>
  <si>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</si>
  <si>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1 476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</si>
  <si>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</si>
  <si>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</si>
  <si>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</si>
  <si>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</si>
  <si>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1 408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</si>
  <si>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</si>
  <si>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</si>
  <si>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</si>
  <si>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1 245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</si>
  <si>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</si>
  <si>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</si>
  <si>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</si>
  <si>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1 576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</si>
  <si>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</si>
  <si>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</si>
  <si>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</si>
  <si>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</si>
  <si>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1 487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</si>
  <si>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</si>
  <si>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</si>
  <si>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</si>
  <si>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1 301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</si>
  <si>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</si>
  <si>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1 680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</si>
  <si>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</si>
  <si>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</si>
  <si>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</si>
  <si>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1 568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</si>
  <si>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</si>
  <si>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</si>
  <si>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</si>
  <si>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</si>
  <si>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1 359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</si>
  <si>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</si>
  <si>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</si>
  <si>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1 787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</si>
  <si>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</si>
  <si>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</si>
  <si>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</si>
  <si>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1 652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</si>
  <si>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</si>
  <si>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</si>
  <si>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</si>
  <si>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</si>
  <si>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1 418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</si>
  <si>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</si>
  <si>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</si>
  <si>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</si>
  <si>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1 898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</si>
  <si>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</si>
  <si>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</si>
  <si>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</si>
  <si>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</si>
  <si>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1 737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</si>
  <si>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</si>
  <si>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</si>
  <si>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1 478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</si>
  <si>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1 018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</si>
  <si>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</si>
  <si>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</si>
  <si>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2 013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</si>
  <si>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</si>
  <si>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</si>
  <si>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</si>
  <si>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</si>
  <si>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1 826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</si>
  <si>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</si>
  <si>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</si>
  <si>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</si>
  <si>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1 539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</si>
  <si>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1 078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</si>
  <si>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</si>
  <si>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</si>
  <si>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2 132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</si>
  <si>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</si>
  <si>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</si>
  <si>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</si>
  <si>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1 916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</si>
  <si>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</si>
  <si>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</si>
  <si>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</si>
  <si>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1 602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</si>
  <si>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1 140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</si>
  <si>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</si>
  <si>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</si>
  <si>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2 254 </t>
    </r>
    <r>
      <rPr>
        <sz val="11"/>
        <rFont val="Calibri"/>
        <family val="2"/>
        <scheme val="minor"/>
      </rPr>
      <t xml:space="preserve"> </t>
    </r>
  </si>
  <si>
    <t>Scenarion de base</t>
  </si>
  <si>
    <t>Scenario Bas</t>
  </si>
  <si>
    <t>Scenario haut</t>
  </si>
  <si>
    <t>Pointe de charge</t>
  </si>
  <si>
    <t>IMPORTS from NIGERIA</t>
  </si>
  <si>
    <t>NIGERIA</t>
  </si>
  <si>
    <r>
      <t xml:space="preserve"> </t>
    </r>
    <r>
      <rPr>
        <sz val="9"/>
        <color indexed="8"/>
        <rFont val="Calibri"/>
        <family val="2"/>
        <scheme val="minor"/>
      </rPr>
      <t xml:space="preserve">Energie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</si>
  <si>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Pointe annuelle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</si>
  <si>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exportée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</si>
  <si>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du système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</si>
  <si>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</si>
  <si>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17637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</si>
  <si>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2934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</si>
  <si>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</si>
  <si>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21544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</si>
  <si>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3223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</si>
  <si>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</si>
  <si>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22612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</si>
  <si>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3479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</si>
  <si>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24132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</si>
  <si>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3427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</si>
  <si>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24077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</si>
  <si>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3774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</si>
  <si>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23300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</si>
  <si>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3682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</si>
  <si>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23187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</si>
  <si>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22275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</si>
  <si>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3599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</si>
  <si>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21430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</si>
  <si>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</si>
  <si>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20349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</si>
  <si>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3596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</si>
  <si>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20833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</si>
  <si>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1180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</si>
  <si>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19653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</si>
  <si>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3710 </t>
    </r>
    <r>
      <rPr>
        <sz val="11"/>
        <rFont val="Calibri"/>
        <family val="2"/>
        <scheme val="minor"/>
      </rPr>
      <t xml:space="preserve"> </t>
    </r>
  </si>
  <si>
    <t>GHANA</t>
  </si>
  <si>
    <t xml:space="preserve">Import </t>
  </si>
  <si>
    <t xml:space="preserve">Export </t>
  </si>
  <si>
    <t xml:space="preserve">Pointe de </t>
  </si>
  <si>
    <t xml:space="preserve">charge </t>
  </si>
  <si>
    <t>Average (2005-2008)</t>
  </si>
  <si>
    <t>Rate of decrease of exports</t>
  </si>
  <si>
    <t>Extrapolation</t>
  </si>
  <si>
    <t>Average based on last 11 years</t>
  </si>
  <si>
    <t>plafond</t>
  </si>
  <si>
    <t xml:space="preserve"> 2011  </t>
  </si>
  <si>
    <t xml:space="preserve"> 2012  </t>
  </si>
  <si>
    <t xml:space="preserve"> 2013  </t>
  </si>
  <si>
    <t xml:space="preserve"> 2014  </t>
  </si>
  <si>
    <t xml:space="preserve"> 2015  </t>
  </si>
  <si>
    <t xml:space="preserve"> 2016  </t>
  </si>
  <si>
    <t xml:space="preserve"> 2017  </t>
  </si>
  <si>
    <t xml:space="preserve"> 2018  </t>
  </si>
  <si>
    <t xml:space="preserve"> 2019  </t>
  </si>
  <si>
    <t xml:space="preserve"> 2020  </t>
  </si>
  <si>
    <t xml:space="preserve"> 2021  </t>
  </si>
  <si>
    <t xml:space="preserve"> 2022  </t>
  </si>
  <si>
    <t xml:space="preserve"> 2023  </t>
  </si>
  <si>
    <t xml:space="preserve"> 2024  </t>
  </si>
  <si>
    <t xml:space="preserve"> 2025  </t>
  </si>
  <si>
    <t>Export extrapolations</t>
  </si>
  <si>
    <t>rate of increase</t>
  </si>
  <si>
    <t>Decrease in rate</t>
  </si>
  <si>
    <t>rates</t>
  </si>
  <si>
    <t>Sum</t>
  </si>
  <si>
    <t>Total</t>
  </si>
  <si>
    <t>Low</t>
  </si>
  <si>
    <t>High</t>
  </si>
  <si>
    <t>Ref</t>
  </si>
  <si>
    <t>pop</t>
  </si>
  <si>
    <t>Demand</t>
  </si>
  <si>
    <t>modelled losses</t>
  </si>
  <si>
    <t>Excludes Mining Sector</t>
  </si>
  <si>
    <t>Includes Mining Sector</t>
  </si>
  <si>
    <t>TWh</t>
  </si>
  <si>
    <t>069</t>
  </si>
  <si>
    <t xml:space="preserve"> Scénario de base  </t>
  </si>
  <si>
    <t xml:space="preserve"> Scénario bas  </t>
  </si>
  <si>
    <t>Mines base</t>
  </si>
  <si>
    <t>Mines bas</t>
  </si>
  <si>
    <t xml:space="preserve"> Scénario haut  </t>
  </si>
  <si>
    <t>Mines (Valco)base</t>
  </si>
  <si>
    <t>Benin base</t>
  </si>
  <si>
    <t>Benin bas</t>
  </si>
  <si>
    <t xml:space="preserve"> Scénario de base Togo </t>
  </si>
  <si>
    <t xml:space="preserve"> Scénario bas Togo </t>
  </si>
  <si>
    <t xml:space="preserve"> Scénario bas  Togo</t>
  </si>
  <si>
    <t>Rank</t>
  </si>
  <si>
    <t xml:space="preserve"> Scénario de base TBN</t>
  </si>
  <si>
    <t xml:space="preserve"> Scénario bas TBN</t>
  </si>
  <si>
    <t>2012-2020</t>
  </si>
  <si>
    <t>2021-2030</t>
  </si>
  <si>
    <t>2031-2050</t>
  </si>
  <si>
    <t>Breakdowns of electricity Consumption</t>
  </si>
  <si>
    <t>Kenya</t>
  </si>
  <si>
    <t>Source: MAED Kenya training model 2005 (kToe)</t>
  </si>
  <si>
    <t>Summary</t>
  </si>
  <si>
    <t>Cote D'Ivoire</t>
  </si>
  <si>
    <t>South Africa</t>
  </si>
  <si>
    <t>Malawi</t>
  </si>
  <si>
    <t>Zimbabwe</t>
  </si>
  <si>
    <t>Rural</t>
  </si>
  <si>
    <t>Urban</t>
  </si>
  <si>
    <t>Services</t>
  </si>
  <si>
    <t>Industry</t>
  </si>
  <si>
    <t>Shares</t>
  </si>
  <si>
    <t>Source:  MAED training model 2007 (ktoe) - revised with input from Kokola (2012)</t>
  </si>
  <si>
    <t>Industry(*) heavy industry is a small share</t>
  </si>
  <si>
    <t>Source:  SA TIMES model - prelim version (PJ)</t>
  </si>
  <si>
    <t>Low Income hh</t>
  </si>
  <si>
    <t>Other hh</t>
  </si>
  <si>
    <t>Source: MAED Niger training model 2009 (kToe)</t>
  </si>
  <si>
    <t>Source: MAED Niger training model 2008 (kToe)</t>
  </si>
  <si>
    <t>Source: MAED Zimb training model 2006 (kToe)</t>
  </si>
  <si>
    <t>Burkina Faso</t>
  </si>
  <si>
    <t>Source: MAED Burkina training model 2009 (kToe)</t>
  </si>
  <si>
    <t>Heavy Industry*</t>
  </si>
  <si>
    <t>Demand for developing mining sector available in ECOWAS master plan</t>
  </si>
  <si>
    <t>Heavy Industry</t>
  </si>
  <si>
    <t>Urban/Services/Small Industry</t>
  </si>
  <si>
    <t>Total Demand</t>
  </si>
  <si>
    <t>Demand (ex.Mines)</t>
  </si>
  <si>
    <t>Growth (ex mines)</t>
  </si>
  <si>
    <t>Demand (Mines)</t>
  </si>
  <si>
    <t>scenario</t>
  </si>
  <si>
    <t>Demand (total)</t>
  </si>
  <si>
    <t>Has Ind data?</t>
  </si>
  <si>
    <t>Distribution Losses</t>
  </si>
  <si>
    <t>Trans Losses</t>
  </si>
  <si>
    <t>Master Plan Losses</t>
  </si>
  <si>
    <t>Losses 2010</t>
  </si>
  <si>
    <t>check</t>
  </si>
  <si>
    <t>Shares Interpolated</t>
  </si>
  <si>
    <t>Demand Projection at Secondary level (GWh)</t>
  </si>
  <si>
    <t>Demand Projection at the Final Level (Mwyr)</t>
  </si>
  <si>
    <t>Losses Interpolated</t>
  </si>
  <si>
    <t>1-Losses</t>
  </si>
  <si>
    <t>Trans</t>
  </si>
  <si>
    <t>Excluding Mining Projects</t>
  </si>
  <si>
    <t>Including Mining Projects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</si>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</sst>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00"/>
    <numFmt numFmtId="169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5" borderId="2" applyNumberFormat="0" applyAlignment="0" applyProtection="0"/>
    <xf numFmtId="0" fontId="26" fillId="7" borderId="2" applyNumberFormat="0" applyAlignment="0" applyProtection="0"/>
    <xf numFmtId="0" fontId="1" fillId="8" borderId="22" applyNumberFormat="0" applyFont="0" applyAlignment="0" applyProtection="0"/>
    <xf numFmtId="0" fontId="27" fillId="9" borderId="0" applyNumberFormat="0" applyBorder="0" applyAlignment="0" applyProtection="0"/>
    <xf numFmtId="0" fontId="1" fillId="0" borderId="0"/>
  </cellStyleXfs>
  <cellXfs count="130">
    <xf numFmtId="0" fontId="0" fillId="0" borderId="0" xfId="0"/>
    <xf numFmtId="0" fontId="7" fillId="0" borderId="0" xfId="7" applyFont="1"/>
    <xf numFmtId="0" fontId="6" fillId="0" borderId="0" xfId="7"/>
    <xf numFmtId="0" fontId="8" fillId="0" borderId="0" xfId="7" applyFont="1"/>
    <xf numFmtId="164" fontId="6" fillId="0" borderId="0" xfId="7" applyNumberFormat="1"/>
    <xf numFmtId="0" fontId="6" fillId="0" borderId="0" xfId="7" applyFont="1"/>
    <xf numFmtId="165" fontId="5" fillId="3" borderId="0" xfId="6" applyNumberFormat="1"/>
    <xf numFmtId="165" fontId="6" fillId="0" borderId="0" xfId="9" applyNumberFormat="1" applyFont="1"/>
    <xf numFmtId="165" fontId="9" fillId="0" borderId="0" xfId="6" applyNumberFormat="1" applyFont="1" applyFill="1"/>
    <xf numFmtId="166" fontId="9" fillId="0" borderId="0" xfId="6" applyNumberFormat="1" applyFont="1" applyFill="1"/>
    <xf numFmtId="43" fontId="9" fillId="0" borderId="0" xfId="6" applyNumberFormat="1" applyFont="1" applyFill="1"/>
    <xf numFmtId="167" fontId="9" fillId="0" borderId="0" xfId="6" applyNumberFormat="1" applyFont="1" applyFill="1"/>
    <xf numFmtId="0" fontId="6" fillId="0" borderId="0" xfId="7" applyFill="1"/>
    <xf numFmtId="165" fontId="7" fillId="0" borderId="0" xfId="7" applyNumberFormat="1" applyFont="1"/>
    <xf numFmtId="164" fontId="9" fillId="0" borderId="0" xfId="8" applyNumberFormat="1" applyFont="1" applyFill="1"/>
    <xf numFmtId="164" fontId="1" fillId="0" borderId="0" xfId="8" applyNumberFormat="1" applyFont="1"/>
    <xf numFmtId="10" fontId="6" fillId="0" borderId="0" xfId="2" applyNumberFormat="1" applyFont="1"/>
    <xf numFmtId="164" fontId="6" fillId="0" borderId="0" xfId="2" applyNumberFormat="1" applyFont="1"/>
    <xf numFmtId="0" fontId="2" fillId="0" borderId="1" xfId="3"/>
    <xf numFmtId="0" fontId="3" fillId="0" borderId="0" xfId="4"/>
    <xf numFmtId="165" fontId="0" fillId="0" borderId="0" xfId="1" applyNumberFormat="1" applyFont="1"/>
    <xf numFmtId="164" fontId="0" fillId="0" borderId="0" xfId="2" applyNumberFormat="1" applyFont="1"/>
    <xf numFmtId="164" fontId="5" fillId="3" borderId="0" xfId="2" applyNumberFormat="1" applyFont="1" applyFill="1"/>
    <xf numFmtId="167" fontId="6" fillId="4" borderId="0" xfId="7" applyNumberFormat="1" applyFill="1"/>
    <xf numFmtId="165" fontId="1" fillId="0" borderId="0" xfId="1" applyNumberFormat="1" applyFont="1"/>
    <xf numFmtId="164" fontId="7" fillId="0" borderId="0" xfId="2" applyNumberFormat="1" applyFont="1"/>
    <xf numFmtId="0" fontId="12" fillId="5" borderId="2" xfId="10"/>
    <xf numFmtId="164" fontId="12" fillId="5" borderId="2" xfId="10" applyNumberFormat="1"/>
    <xf numFmtId="10" fontId="12" fillId="5" borderId="2" xfId="10" applyNumberFormat="1"/>
    <xf numFmtId="1" fontId="1" fillId="0" borderId="0" xfId="8" applyNumberFormat="1" applyFont="1"/>
    <xf numFmtId="168" fontId="1" fillId="0" borderId="0" xfId="8" applyNumberFormat="1" applyFont="1"/>
    <xf numFmtId="0" fontId="13" fillId="0" borderId="4" xfId="4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3" fillId="0" borderId="11" xfId="4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165" fontId="12" fillId="5" borderId="2" xfId="10" applyNumberFormat="1"/>
    <xf numFmtId="165" fontId="15" fillId="0" borderId="0" xfId="0" applyNumberFormat="1" applyFont="1"/>
    <xf numFmtId="0" fontId="16" fillId="0" borderId="0" xfId="7" applyFont="1"/>
    <xf numFmtId="165" fontId="17" fillId="0" borderId="0" xfId="0" applyNumberFormat="1" applyFont="1"/>
    <xf numFmtId="164" fontId="4" fillId="2" borderId="0" xfId="5" applyNumberFormat="1"/>
    <xf numFmtId="167" fontId="7" fillId="0" borderId="0" xfId="7" applyNumberFormat="1" applyFont="1" applyFill="1"/>
    <xf numFmtId="0" fontId="7" fillId="0" borderId="0" xfId="7" applyFont="1" applyFill="1"/>
    <xf numFmtId="165" fontId="18" fillId="0" borderId="0" xfId="1" applyNumberFormat="1" applyFont="1"/>
    <xf numFmtId="167" fontId="7" fillId="0" borderId="0" xfId="1" applyNumberFormat="1" applyFont="1" applyFill="1"/>
    <xf numFmtId="0" fontId="0" fillId="0" borderId="0" xfId="0" applyAlignment="1"/>
    <xf numFmtId="0" fontId="13" fillId="0" borderId="5" xfId="4" applyFont="1" applyBorder="1" applyAlignment="1">
      <alignment vertical="center" wrapText="1"/>
    </xf>
    <xf numFmtId="0" fontId="13" fillId="0" borderId="6" xfId="4" applyFont="1" applyBorder="1" applyAlignment="1">
      <alignment vertical="center" wrapText="1"/>
    </xf>
    <xf numFmtId="0" fontId="13" fillId="0" borderId="7" xfId="4" applyFont="1" applyBorder="1" applyAlignment="1">
      <alignment vertical="center" wrapText="1"/>
    </xf>
    <xf numFmtId="165" fontId="0" fillId="0" borderId="8" xfId="1" applyNumberFormat="1" applyFont="1" applyBorder="1" applyAlignment="1"/>
    <xf numFmtId="165" fontId="0" fillId="0" borderId="9" xfId="1" applyNumberFormat="1" applyFont="1" applyBorder="1" applyAlignment="1"/>
    <xf numFmtId="165" fontId="0" fillId="0" borderId="10" xfId="1" applyNumberFormat="1" applyFont="1" applyBorder="1" applyAlignment="1"/>
    <xf numFmtId="0" fontId="13" fillId="0" borderId="13" xfId="3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168" fontId="0" fillId="0" borderId="14" xfId="1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8" xfId="0" applyBorder="1"/>
    <xf numFmtId="0" fontId="19" fillId="0" borderId="0" xfId="0" applyFont="1"/>
    <xf numFmtId="1" fontId="0" fillId="0" borderId="14" xfId="1" applyNumberFormat="1" applyFont="1" applyBorder="1" applyAlignment="1">
      <alignment horizontal="center"/>
    </xf>
    <xf numFmtId="0" fontId="0" fillId="0" borderId="0" xfId="0" applyFill="1"/>
    <xf numFmtId="0" fontId="9" fillId="0" borderId="0" xfId="0" applyNumberFormat="1" applyFont="1" applyFill="1" applyBorder="1" applyAlignment="1" applyProtection="1"/>
    <xf numFmtId="0" fontId="5" fillId="3" borderId="0" xfId="6"/>
    <xf numFmtId="0" fontId="15" fillId="0" borderId="0" xfId="0" applyFont="1" applyAlignment="1">
      <alignment wrapText="1"/>
    </xf>
    <xf numFmtId="9" fontId="0" fillId="0" borderId="0" xfId="0" applyNumberFormat="1"/>
    <xf numFmtId="164" fontId="12" fillId="0" borderId="2" xfId="10" applyNumberFormat="1" applyFill="1"/>
    <xf numFmtId="3" fontId="1" fillId="0" borderId="0" xfId="8" applyNumberFormat="1" applyFont="1"/>
    <xf numFmtId="0" fontId="15" fillId="0" borderId="0" xfId="0" applyFont="1" applyFill="1" applyAlignment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164" fontId="5" fillId="0" borderId="0" xfId="6" applyNumberFormat="1" applyFill="1"/>
    <xf numFmtId="0" fontId="15" fillId="0" borderId="0" xfId="0" applyFont="1" applyAlignment="1"/>
    <xf numFmtId="0" fontId="5" fillId="0" borderId="0" xfId="6" applyFill="1"/>
    <xf numFmtId="10" fontId="5" fillId="3" borderId="2" xfId="6" applyNumberFormat="1" applyBorder="1"/>
    <xf numFmtId="10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3" fontId="0" fillId="0" borderId="0" xfId="0" applyNumberFormat="1"/>
    <xf numFmtId="0" fontId="0" fillId="6" borderId="0" xfId="0" applyFill="1"/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9" fillId="0" borderId="0" xfId="0" applyNumberFormat="1" applyFont="1" applyFill="1" applyBorder="1" applyAlignment="1" applyProtection="1">
      <alignment horizontal="left"/>
    </xf>
    <xf numFmtId="10" fontId="0" fillId="6" borderId="0" xfId="0" applyNumberFormat="1" applyFill="1"/>
    <xf numFmtId="10" fontId="5" fillId="3" borderId="0" xfId="6" applyNumberFormat="1"/>
    <xf numFmtId="0" fontId="15" fillId="0" borderId="0" xfId="0" applyFont="1"/>
    <xf numFmtId="0" fontId="26" fillId="7" borderId="2" xfId="11"/>
    <xf numFmtId="9" fontId="0" fillId="0" borderId="0" xfId="2" applyFont="1"/>
    <xf numFmtId="2" fontId="4" fillId="2" borderId="0" xfId="5" applyNumberFormat="1"/>
    <xf numFmtId="9" fontId="21" fillId="0" borderId="0" xfId="2" applyFont="1" applyFill="1" applyBorder="1" applyAlignment="1" applyProtection="1">
      <alignment wrapText="1"/>
    </xf>
    <xf numFmtId="9" fontId="9" fillId="0" borderId="0" xfId="2" applyFont="1" applyFill="1" applyBorder="1" applyAlignment="1" applyProtection="1"/>
    <xf numFmtId="0" fontId="0" fillId="0" borderId="0" xfId="2" applyNumberFormat="1" applyFont="1"/>
    <xf numFmtId="0" fontId="0" fillId="0" borderId="0" xfId="0" applyFont="1"/>
    <xf numFmtId="167" fontId="0" fillId="0" borderId="8" xfId="1" applyNumberFormat="1" applyFont="1" applyBorder="1" applyAlignment="1"/>
    <xf numFmtId="167" fontId="0" fillId="0" borderId="9" xfId="1" applyNumberFormat="1" applyFont="1" applyBorder="1" applyAlignment="1"/>
    <xf numFmtId="167" fontId="0" fillId="0" borderId="10" xfId="1" applyNumberFormat="1" applyFont="1" applyBorder="1" applyAlignment="1"/>
    <xf numFmtId="0" fontId="4" fillId="2" borderId="0" xfId="5" applyAlignment="1">
      <alignment wrapText="1"/>
    </xf>
    <xf numFmtId="10" fontId="4" fillId="2" borderId="0" xfId="5" applyNumberFormat="1"/>
    <xf numFmtId="3" fontId="0" fillId="6" borderId="0" xfId="0" applyNumberFormat="1" applyFill="1"/>
    <xf numFmtId="0" fontId="0" fillId="0" borderId="0" xfId="0" quotePrefix="1"/>
    <xf numFmtId="3" fontId="0" fillId="8" borderId="22" xfId="12" applyNumberFormat="1" applyFont="1" applyAlignment="1">
      <alignment horizontal="right"/>
    </xf>
    <xf numFmtId="0" fontId="27" fillId="9" borderId="0" xfId="13"/>
    <xf numFmtId="0" fontId="27" fillId="9" borderId="0" xfId="13" applyNumberFormat="1" applyBorder="1" applyAlignment="1" applyProtection="1">
      <alignment wrapText="1"/>
    </xf>
    <xf numFmtId="0" fontId="27" fillId="9" borderId="0" xfId="13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8" borderId="22" xfId="12" applyNumberFormat="1" applyFont="1"/>
    <xf numFmtId="164" fontId="27" fillId="9" borderId="0" xfId="13" applyNumberFormat="1"/>
    <xf numFmtId="169" fontId="0" fillId="0" borderId="0" xfId="0" applyNumberFormat="1"/>
    <xf numFmtId="0" fontId="1" fillId="0" borderId="0" xfId="14"/>
    <xf numFmtId="9" fontId="0" fillId="0" borderId="0" xfId="2" applyFont="1" applyAlignment="1">
      <alignment wrapText="1"/>
    </xf>
    <xf numFmtId="2" fontId="0" fillId="0" borderId="0" xfId="0" applyNumberFormat="1"/>
    <xf numFmtId="0" fontId="0" fillId="10" borderId="0" xfId="0" applyFill="1"/>
    <xf numFmtId="3" fontId="17" fillId="9" borderId="0" xfId="13" applyNumberFormat="1" applyFont="1"/>
    <xf numFmtId="3" fontId="17" fillId="0" borderId="0" xfId="0" applyNumberFormat="1" applyFont="1"/>
    <xf numFmtId="3" fontId="0" fillId="10" borderId="0" xfId="0" applyNumberFormat="1" applyFill="1"/>
    <xf numFmtId="0" fontId="0" fillId="0" borderId="0" xfId="0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</cellXfs>
  <cellStyles count="15">
    <cellStyle name="Bad" xfId="5" builtinId="27"/>
    <cellStyle name="Calculation" xfId="11" builtinId="22"/>
    <cellStyle name="Comma" xfId="1" builtinId="3"/>
    <cellStyle name="Comma 2" xfId="9"/>
    <cellStyle name="Good" xfId="13" builtinId="26"/>
    <cellStyle name="Heading 1" xfId="3" builtinId="16"/>
    <cellStyle name="Heading 4" xfId="4" builtinId="19"/>
    <cellStyle name="Input" xfId="10" builtinId="20"/>
    <cellStyle name="Neutral" xfId="6" builtinId="28"/>
    <cellStyle name="Normal" xfId="0" builtinId="0"/>
    <cellStyle name="Normal 2" xfId="7"/>
    <cellStyle name="Normal 4" xfId="14"/>
    <cellStyle name="Note" xfId="12" builtinId="10"/>
    <cellStyle name="Percent" xfId="2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SourceData!$Z$30</c:f>
              <c:strCache>
                <c:ptCount val="1"/>
                <c:pt idx="0">
                  <c:v>Gambia</c:v>
                </c:pt>
              </c:strCache>
            </c:strRef>
          </c:tx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SourceData!$Z$31:$Z$35</c:f>
              <c:numCache>
                <c:formatCode>#,##0</c:formatCode>
                <c:ptCount val="5"/>
                <c:pt idx="0">
                  <c:v>0.23899999999999999</c:v>
                </c:pt>
                <c:pt idx="1">
                  <c:v>0.84699999999999998</c:v>
                </c:pt>
                <c:pt idx="2">
                  <c:v>1.2188313040604082</c:v>
                </c:pt>
                <c:pt idx="3">
                  <c:v>1.7506079406297472</c:v>
                </c:pt>
                <c:pt idx="4">
                  <c:v>2.5143989587291027</c:v>
                </c:pt>
              </c:numCache>
            </c:numRef>
          </c:val>
        </c:ser>
        <c:ser>
          <c:idx val="2"/>
          <c:order val="1"/>
          <c:tx>
            <c:strRef>
              <c:f>SourceData!$AA$30</c:f>
              <c:strCache>
                <c:ptCount val="1"/>
                <c:pt idx="0">
                  <c:v>Guinée Bissau</c:v>
                </c:pt>
              </c:strCache>
            </c:strRef>
          </c:tx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SourceData!$AA$31:$AA$35</c:f>
              <c:numCache>
                <c:formatCode>#,##0</c:formatCode>
                <c:ptCount val="5"/>
                <c:pt idx="0">
                  <c:v>0.14099999999999999</c:v>
                </c:pt>
                <c:pt idx="1">
                  <c:v>0.38500000000000001</c:v>
                </c:pt>
                <c:pt idx="2">
                  <c:v>0.701970224446538</c:v>
                </c:pt>
                <c:pt idx="3">
                  <c:v>1.1237041748604579</c:v>
                </c:pt>
                <c:pt idx="4">
                  <c:v>1.7354760568896426</c:v>
                </c:pt>
              </c:numCache>
            </c:numRef>
          </c:val>
        </c:ser>
        <c:ser>
          <c:idx val="3"/>
          <c:order val="2"/>
          <c:tx>
            <c:strRef>
              <c:f>SourceData!$AB$30</c:f>
              <c:strCache>
                <c:ptCount val="1"/>
                <c:pt idx="0">
                  <c:v>Guinea</c:v>
                </c:pt>
              </c:strCache>
            </c:strRef>
          </c:tx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SourceData!$AB$31:$AB$35</c:f>
              <c:numCache>
                <c:formatCode>#,##0</c:formatCode>
                <c:ptCount val="5"/>
                <c:pt idx="0">
                  <c:v>0.60799999999999998</c:v>
                </c:pt>
                <c:pt idx="1">
                  <c:v>1.9370000000000001</c:v>
                </c:pt>
                <c:pt idx="2">
                  <c:v>2.6259874272552892</c:v>
                </c:pt>
                <c:pt idx="3">
                  <c:v>3.399431687570734</c:v>
                </c:pt>
                <c:pt idx="4">
                  <c:v>4.4006820743001835</c:v>
                </c:pt>
              </c:numCache>
            </c:numRef>
          </c:val>
        </c:ser>
        <c:ser>
          <c:idx val="4"/>
          <c:order val="3"/>
          <c:tx>
            <c:strRef>
              <c:f>SourceData!$AC$30</c:f>
              <c:strCache>
                <c:ptCount val="1"/>
                <c:pt idx="0">
                  <c:v>Sierra Leone</c:v>
                </c:pt>
              </c:strCache>
            </c:strRef>
          </c:tx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SourceData!$AC$31:$AC$35</c:f>
              <c:numCache>
                <c:formatCode>#,##0</c:formatCode>
                <c:ptCount val="5"/>
                <c:pt idx="0">
                  <c:v>0.20200000000000001</c:v>
                </c:pt>
                <c:pt idx="1">
                  <c:v>0.90700000000000003</c:v>
                </c:pt>
                <c:pt idx="2">
                  <c:v>1.3626461269279118</c:v>
                </c:pt>
                <c:pt idx="3">
                  <c:v>1.8900902445193901</c:v>
                </c:pt>
                <c:pt idx="4">
                  <c:v>2.6216939686912277</c:v>
                </c:pt>
              </c:numCache>
            </c:numRef>
          </c:val>
        </c:ser>
        <c:ser>
          <c:idx val="5"/>
          <c:order val="4"/>
          <c:tx>
            <c:strRef>
              <c:f>SourceData!$AD$30</c:f>
              <c:strCache>
                <c:ptCount val="1"/>
                <c:pt idx="0">
                  <c:v>Liberia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SourceData!$AD$31:$AD$35</c:f>
              <c:numCache>
                <c:formatCode>#,##0</c:formatCode>
                <c:ptCount val="5"/>
                <c:pt idx="0">
                  <c:v>4.7E-2</c:v>
                </c:pt>
                <c:pt idx="1">
                  <c:v>0.35499999999999998</c:v>
                </c:pt>
                <c:pt idx="2">
                  <c:v>0.65079671093156033</c:v>
                </c:pt>
                <c:pt idx="3">
                  <c:v>1.1766446510256521</c:v>
                </c:pt>
                <c:pt idx="4">
                  <c:v>2.1273811184532492</c:v>
                </c:pt>
              </c:numCache>
            </c:numRef>
          </c:val>
        </c:ser>
        <c:ser>
          <c:idx val="10"/>
          <c:order val="5"/>
          <c:tx>
            <c:strRef>
              <c:f>SourceData!$AI$30</c:f>
              <c:strCache>
                <c:ptCount val="1"/>
                <c:pt idx="0">
                  <c:v>Burkina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SourceData!$AI$31:$AI$35</c:f>
              <c:numCache>
                <c:formatCode>#,##0</c:formatCode>
                <c:ptCount val="5"/>
                <c:pt idx="0">
                  <c:v>0.873</c:v>
                </c:pt>
                <c:pt idx="1">
                  <c:v>1.694</c:v>
                </c:pt>
                <c:pt idx="2">
                  <c:v>3.3566758879355203</c:v>
                </c:pt>
                <c:pt idx="3">
                  <c:v>6.5225176284215767</c:v>
                </c:pt>
                <c:pt idx="4">
                  <c:v>12.67421628819692</c:v>
                </c:pt>
              </c:numCache>
            </c:numRef>
          </c:val>
        </c:ser>
        <c:ser>
          <c:idx val="11"/>
          <c:order val="6"/>
          <c:tx>
            <c:strRef>
              <c:f>SourceData!$AJ$30</c:f>
              <c:strCache>
                <c:ptCount val="1"/>
                <c:pt idx="0">
                  <c:v>Niger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SourceData!$AJ$31:$AJ$35</c:f>
              <c:numCache>
                <c:formatCode>#,##0</c:formatCode>
                <c:ptCount val="5"/>
                <c:pt idx="0">
                  <c:v>0.84899999999999998</c:v>
                </c:pt>
                <c:pt idx="1">
                  <c:v>1.609</c:v>
                </c:pt>
                <c:pt idx="2">
                  <c:v>2.4965611450802547</c:v>
                </c:pt>
                <c:pt idx="3">
                  <c:v>3.7427616414953824</c:v>
                </c:pt>
                <c:pt idx="4">
                  <c:v>5.6110240811261596</c:v>
                </c:pt>
              </c:numCache>
            </c:numRef>
          </c:val>
        </c:ser>
        <c:ser>
          <c:idx val="6"/>
          <c:order val="7"/>
          <c:tx>
            <c:strRef>
              <c:f>SourceData!$AE$30</c:f>
              <c:strCache>
                <c:ptCount val="1"/>
                <c:pt idx="0">
                  <c:v>Mali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SourceData!$AE$31:$AE$35</c:f>
              <c:numCache>
                <c:formatCode>#,##0</c:formatCode>
                <c:ptCount val="5"/>
                <c:pt idx="0">
                  <c:v>1.1359999999999999</c:v>
                </c:pt>
                <c:pt idx="1">
                  <c:v>3.3980000000000001</c:v>
                </c:pt>
                <c:pt idx="2">
                  <c:v>5.1928502600433522</c:v>
                </c:pt>
                <c:pt idx="3">
                  <c:v>7.6370225460816572</c:v>
                </c:pt>
                <c:pt idx="4">
                  <c:v>11.231618561801673</c:v>
                </c:pt>
              </c:numCache>
            </c:numRef>
          </c:val>
        </c:ser>
        <c:ser>
          <c:idx val="9"/>
          <c:order val="8"/>
          <c:tx>
            <c:strRef>
              <c:f>SourceData!$AH$30</c:f>
              <c:strCache>
                <c:ptCount val="1"/>
                <c:pt idx="0">
                  <c:v>Togo/Benin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SourceData!$AH$31:$AH$35</c:f>
              <c:numCache>
                <c:formatCode>#,##0</c:formatCode>
                <c:ptCount val="5"/>
                <c:pt idx="0">
                  <c:v>2.383</c:v>
                </c:pt>
                <c:pt idx="1">
                  <c:v>5.1849999999999996</c:v>
                </c:pt>
                <c:pt idx="2">
                  <c:v>9.9174339429110354</c:v>
                </c:pt>
                <c:pt idx="3">
                  <c:v>18.234255561464536</c:v>
                </c:pt>
                <c:pt idx="4">
                  <c:v>33.525615375382685</c:v>
                </c:pt>
              </c:numCache>
            </c:numRef>
          </c:val>
        </c:ser>
        <c:ser>
          <c:idx val="0"/>
          <c:order val="9"/>
          <c:tx>
            <c:strRef>
              <c:f>SourceData!$Y$30</c:f>
              <c:strCache>
                <c:ptCount val="1"/>
                <c:pt idx="0">
                  <c:v>Senegal</c:v>
                </c:pt>
              </c:strCache>
            </c:strRef>
          </c:tx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SourceData!$Y$31:$Y$35</c:f>
              <c:numCache>
                <c:formatCode>#,##0</c:formatCode>
                <c:ptCount val="5"/>
                <c:pt idx="0">
                  <c:v>2.6539999999999999</c:v>
                </c:pt>
                <c:pt idx="1">
                  <c:v>5.306</c:v>
                </c:pt>
                <c:pt idx="2">
                  <c:v>8.9978996347244706</c:v>
                </c:pt>
                <c:pt idx="3">
                  <c:v>14.939613075592211</c:v>
                </c:pt>
                <c:pt idx="4">
                  <c:v>24.804904245327279</c:v>
                </c:pt>
              </c:numCache>
            </c:numRef>
          </c:val>
        </c:ser>
        <c:ser>
          <c:idx val="7"/>
          <c:order val="10"/>
          <c:tx>
            <c:strRef>
              <c:f>SourceData!$AF$30</c:f>
              <c:strCache>
                <c:ptCount val="1"/>
                <c:pt idx="0">
                  <c:v>Ivory Coast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SourceData!$AF$31:$AF$35</c:f>
              <c:numCache>
                <c:formatCode>#,##0</c:formatCode>
                <c:ptCount val="5"/>
                <c:pt idx="0">
                  <c:v>6.0049999999999999</c:v>
                </c:pt>
                <c:pt idx="1">
                  <c:v>10.244</c:v>
                </c:pt>
                <c:pt idx="2">
                  <c:v>16.798236128311054</c:v>
                </c:pt>
                <c:pt idx="3">
                  <c:v>26.861688673593157</c:v>
                </c:pt>
                <c:pt idx="4">
                  <c:v>42.953933549068985</c:v>
                </c:pt>
              </c:numCache>
            </c:numRef>
          </c:val>
        </c:ser>
        <c:ser>
          <c:idx val="8"/>
          <c:order val="11"/>
          <c:tx>
            <c:strRef>
              <c:f>SourceData!$AG$30</c:f>
              <c:strCache>
                <c:ptCount val="1"/>
                <c:pt idx="0">
                  <c:v>Ghana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SourceData!$AG$31:$AG$35</c:f>
              <c:numCache>
                <c:formatCode>#,##0</c:formatCode>
                <c:ptCount val="5"/>
                <c:pt idx="0">
                  <c:v>9.7929999999999993</c:v>
                </c:pt>
                <c:pt idx="1">
                  <c:v>16.856999999999999</c:v>
                </c:pt>
                <c:pt idx="2">
                  <c:v>31.014058998366515</c:v>
                </c:pt>
                <c:pt idx="3">
                  <c:v>57.225278454944544</c:v>
                </c:pt>
                <c:pt idx="4">
                  <c:v>105.58864592404423</c:v>
                </c:pt>
              </c:numCache>
            </c:numRef>
          </c:val>
        </c:ser>
        <c:ser>
          <c:idx val="12"/>
          <c:order val="12"/>
          <c:tx>
            <c:strRef>
              <c:f>SourceData!$AK$30</c:f>
              <c:strCache>
                <c:ptCount val="1"/>
                <c:pt idx="0">
                  <c:v>Nigeria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SourceData!$X$31:$X$35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SourceData!$AK$31:$AK$35</c:f>
              <c:numCache>
                <c:formatCode>#,##0</c:formatCode>
                <c:ptCount val="5"/>
                <c:pt idx="0">
                  <c:v>39.101999999999997</c:v>
                </c:pt>
                <c:pt idx="1">
                  <c:v>91.873000000000005</c:v>
                </c:pt>
                <c:pt idx="2">
                  <c:v>152.23237173580938</c:v>
                </c:pt>
                <c:pt idx="3">
                  <c:v>227.99701287633002</c:v>
                </c:pt>
                <c:pt idx="4">
                  <c:v>341.46901403298324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340544"/>
        <c:axId val="239555328"/>
      </c:barChart>
      <c:catAx>
        <c:axId val="2393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555328"/>
        <c:crosses val="autoZero"/>
        <c:auto val="1"/>
        <c:lblAlgn val="ctr"/>
        <c:lblOffset val="100"/>
        <c:noMultiLvlLbl val="0"/>
      </c:catAx>
      <c:valAx>
        <c:axId val="23955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Demand (TWh)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34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DemandBreakdown!$D$30</c:f>
              <c:strCache>
                <c:ptCount val="1"/>
                <c:pt idx="0">
                  <c:v>Heavy Industry*</c:v>
                </c:pt>
              </c:strCache>
            </c:strRef>
          </c:tx>
          <c:cat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cat>
          <c:val>
            <c:numRef>
              <c:f>DemandBreakdown!$BP$30:$CM$30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131</c:v>
                </c:pt>
                <c:pt idx="4">
                  <c:v>657</c:v>
                </c:pt>
                <c:pt idx="5">
                  <c:v>1183</c:v>
                </c:pt>
                <c:pt idx="6">
                  <c:v>1840</c:v>
                </c:pt>
                <c:pt idx="7">
                  <c:v>1840</c:v>
                </c:pt>
                <c:pt idx="8">
                  <c:v>1840</c:v>
                </c:pt>
                <c:pt idx="9">
                  <c:v>1840</c:v>
                </c:pt>
                <c:pt idx="10">
                  <c:v>1840</c:v>
                </c:pt>
                <c:pt idx="11">
                  <c:v>1840</c:v>
                </c:pt>
                <c:pt idx="12">
                  <c:v>1840</c:v>
                </c:pt>
                <c:pt idx="13">
                  <c:v>1840</c:v>
                </c:pt>
                <c:pt idx="14">
                  <c:v>1840</c:v>
                </c:pt>
                <c:pt idx="15">
                  <c:v>1840</c:v>
                </c:pt>
                <c:pt idx="16">
                  <c:v>1840</c:v>
                </c:pt>
                <c:pt idx="17">
                  <c:v>1840</c:v>
                </c:pt>
                <c:pt idx="18">
                  <c:v>1840</c:v>
                </c:pt>
                <c:pt idx="19">
                  <c:v>1840</c:v>
                </c:pt>
                <c:pt idx="20">
                  <c:v>1840</c:v>
                </c:pt>
                <c:pt idx="21">
                  <c:v>1840</c:v>
                </c:pt>
                <c:pt idx="22">
                  <c:v>1840</c:v>
                </c:pt>
                <c:pt idx="23">
                  <c:v>1840</c:v>
                </c:pt>
              </c:numCache>
            </c:numRef>
          </c:val>
        </c:ser>
        <c:ser>
          <c:idx val="1"/>
          <c:order val="1"/>
          <c:tx>
            <c:strRef>
              <c:f>DemandBreakdown!$D$31</c:f>
              <c:strCache>
                <c:ptCount val="1"/>
                <c:pt idx="0">
                  <c:v>Urban/Services/Small Industry</c:v>
                </c:pt>
              </c:strCache>
            </c:strRef>
          </c:tx>
          <c:cat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cat>
          <c:val>
            <c:numRef>
              <c:f>DemandBreakdown!$BP$31:$CM$31</c:f>
              <c:numCache>
                <c:formatCode>#,##0</c:formatCode>
                <c:ptCount val="24"/>
                <c:pt idx="0">
                  <c:v>33.32</c:v>
                </c:pt>
                <c:pt idx="1">
                  <c:v>45.876331232340796</c:v>
                </c:pt>
                <c:pt idx="2">
                  <c:v>102.00142789148025</c:v>
                </c:pt>
                <c:pt idx="3">
                  <c:v>157.42808309229557</c:v>
                </c:pt>
                <c:pt idx="4">
                  <c:v>216.70505287896592</c:v>
                </c:pt>
                <c:pt idx="5">
                  <c:v>249.8718801996672</c:v>
                </c:pt>
                <c:pt idx="6">
                  <c:v>260.79969301611663</c:v>
                </c:pt>
                <c:pt idx="7">
                  <c:v>270.51744449478929</c:v>
                </c:pt>
                <c:pt idx="8">
                  <c:v>277.52876106194685</c:v>
                </c:pt>
                <c:pt idx="9">
                  <c:v>279.47906316536546</c:v>
                </c:pt>
                <c:pt idx="10">
                  <c:v>267.12871287128718</c:v>
                </c:pt>
                <c:pt idx="11">
                  <c:v>279.32890365448509</c:v>
                </c:pt>
                <c:pt idx="12">
                  <c:v>292.06381039197817</c:v>
                </c:pt>
                <c:pt idx="13">
                  <c:v>306.03594914511177</c:v>
                </c:pt>
                <c:pt idx="14">
                  <c:v>320.49831081081084</c:v>
                </c:pt>
                <c:pt idx="15">
                  <c:v>336.1384928716904</c:v>
                </c:pt>
                <c:pt idx="16">
                  <c:v>352.53894076328237</c:v>
                </c:pt>
                <c:pt idx="17">
                  <c:v>369.84250907655468</c:v>
                </c:pt>
                <c:pt idx="18">
                  <c:v>388.08090734118406</c:v>
                </c:pt>
                <c:pt idx="19">
                  <c:v>407.28735629439876</c:v>
                </c:pt>
                <c:pt idx="20">
                  <c:v>425.60753759884057</c:v>
                </c:pt>
                <c:pt idx="21">
                  <c:v>451.57439458357811</c:v>
                </c:pt>
                <c:pt idx="22">
                  <c:v>769.50117316210446</c:v>
                </c:pt>
                <c:pt idx="23">
                  <c:v>1391.2630843863808</c:v>
                </c:pt>
              </c:numCache>
            </c:numRef>
          </c:val>
        </c:ser>
        <c:ser>
          <c:idx val="2"/>
          <c:order val="2"/>
          <c:tx>
            <c:strRef>
              <c:f>DemandBreakdown!$D$32</c:f>
              <c:strCache>
                <c:ptCount val="1"/>
                <c:pt idx="0">
                  <c:v>Rural</c:v>
                </c:pt>
              </c:strCache>
            </c:strRef>
          </c:tx>
          <c:cat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cat>
          <c:val>
            <c:numRef>
              <c:f>DemandBreakdown!$BP$32:$CM$32</c:f>
              <c:numCache>
                <c:formatCode>#,##0</c:formatCode>
                <c:ptCount val="24"/>
                <c:pt idx="0">
                  <c:v>0.68</c:v>
                </c:pt>
                <c:pt idx="1">
                  <c:v>1.1236687676592045</c:v>
                </c:pt>
                <c:pt idx="2">
                  <c:v>2.9985721085197521</c:v>
                </c:pt>
                <c:pt idx="3">
                  <c:v>5.5719169077044421</c:v>
                </c:pt>
                <c:pt idx="4">
                  <c:v>9.2949471210340739</c:v>
                </c:pt>
                <c:pt idx="5">
                  <c:v>13.128119800332778</c:v>
                </c:pt>
                <c:pt idx="6">
                  <c:v>18.200306983883348</c:v>
                </c:pt>
                <c:pt idx="7">
                  <c:v>25.482555505210694</c:v>
                </c:pt>
                <c:pt idx="8">
                  <c:v>36.471238938053105</c:v>
                </c:pt>
                <c:pt idx="9">
                  <c:v>54.520936834634497</c:v>
                </c:pt>
                <c:pt idx="10">
                  <c:v>87.871287128712851</c:v>
                </c:pt>
                <c:pt idx="11">
                  <c:v>98.671096345514925</c:v>
                </c:pt>
                <c:pt idx="12">
                  <c:v>109.93618960802186</c:v>
                </c:pt>
                <c:pt idx="13">
                  <c:v>121.9640508548882</c:v>
                </c:pt>
                <c:pt idx="14">
                  <c:v>134.50168918918919</c:v>
                </c:pt>
                <c:pt idx="15">
                  <c:v>147.8615071283096</c:v>
                </c:pt>
                <c:pt idx="16">
                  <c:v>161.90077646993456</c:v>
                </c:pt>
                <c:pt idx="17">
                  <c:v>176.7094618971735</c:v>
                </c:pt>
                <c:pt idx="18">
                  <c:v>192.33084614926537</c:v>
                </c:pt>
                <c:pt idx="19">
                  <c:v>208.80895222864498</c:v>
                </c:pt>
                <c:pt idx="20">
                  <c:v>225.18917333271995</c:v>
                </c:pt>
                <c:pt idx="21">
                  <c:v>238.92825110242237</c:v>
                </c:pt>
                <c:pt idx="22">
                  <c:v>407.14347786354745</c:v>
                </c:pt>
                <c:pt idx="23">
                  <c:v>736.1180340668684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69664"/>
        <c:axId val="207571200"/>
      </c:areaChart>
      <c:dateAx>
        <c:axId val="2075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571200"/>
        <c:crosses val="autoZero"/>
        <c:auto val="0"/>
        <c:lblOffset val="100"/>
        <c:baseTimeUnit val="days"/>
      </c:dateAx>
      <c:valAx>
        <c:axId val="207571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56966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DemandBreakdown!$CN$71</c:f>
              <c:strCache>
                <c:ptCount val="1"/>
                <c:pt idx="0">
                  <c:v>Heavy Industry</c:v>
                </c:pt>
              </c:strCache>
            </c:strRef>
          </c:tx>
          <c:cat>
            <c:numRef>
              <c:f>DemandBreakdown!$CP$70:$DI$70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DemandBreakdown!$CP$71:$DI$71</c:f>
              <c:numCache>
                <c:formatCode>0.00</c:formatCode>
                <c:ptCount val="20"/>
                <c:pt idx="0">
                  <c:v>7.9348079999999994</c:v>
                </c:pt>
                <c:pt idx="1">
                  <c:v>12.691488</c:v>
                </c:pt>
                <c:pt idx="2">
                  <c:v>16.210380000000001</c:v>
                </c:pt>
                <c:pt idx="3">
                  <c:v>20.587751999999998</c:v>
                </c:pt>
                <c:pt idx="4">
                  <c:v>24.983520000000002</c:v>
                </c:pt>
                <c:pt idx="5">
                  <c:v>32.744004000000004</c:v>
                </c:pt>
                <c:pt idx="6">
                  <c:v>37.129260000000002</c:v>
                </c:pt>
                <c:pt idx="7">
                  <c:v>41.880683999999995</c:v>
                </c:pt>
                <c:pt idx="8">
                  <c:v>49.317923999999998</c:v>
                </c:pt>
                <c:pt idx="9">
                  <c:v>55.578696000000001</c:v>
                </c:pt>
                <c:pt idx="10">
                  <c:v>59.507556000000001</c:v>
                </c:pt>
                <c:pt idx="11">
                  <c:v>63.246323999999994</c:v>
                </c:pt>
                <c:pt idx="12">
                  <c:v>67.247892000000007</c:v>
                </c:pt>
                <c:pt idx="13">
                  <c:v>71.53416</c:v>
                </c:pt>
                <c:pt idx="14">
                  <c:v>76.127027999999996</c:v>
                </c:pt>
                <c:pt idx="15">
                  <c:v>80.756687999999997</c:v>
                </c:pt>
                <c:pt idx="16">
                  <c:v>85.548407999999995</c:v>
                </c:pt>
                <c:pt idx="17">
                  <c:v>90.484667999999985</c:v>
                </c:pt>
                <c:pt idx="18">
                  <c:v>95.554956000000004</c:v>
                </c:pt>
                <c:pt idx="19">
                  <c:v>98.903027999999992</c:v>
                </c:pt>
              </c:numCache>
            </c:numRef>
          </c:val>
        </c:ser>
        <c:ser>
          <c:idx val="1"/>
          <c:order val="1"/>
          <c:tx>
            <c:strRef>
              <c:f>DemandBreakdown!$CN$72</c:f>
              <c:strCache>
                <c:ptCount val="1"/>
                <c:pt idx="0">
                  <c:v>Urban</c:v>
                </c:pt>
              </c:strCache>
            </c:strRef>
          </c:tx>
          <c:cat>
            <c:numRef>
              <c:f>DemandBreakdown!$CP$70:$DI$70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DemandBreakdown!$CP$72:$DI$72</c:f>
              <c:numCache>
                <c:formatCode>0.00</c:formatCode>
                <c:ptCount val="20"/>
                <c:pt idx="0">
                  <c:v>45.274307999999991</c:v>
                </c:pt>
                <c:pt idx="1">
                  <c:v>58.530816000000002</c:v>
                </c:pt>
                <c:pt idx="2">
                  <c:v>60.719063999999996</c:v>
                </c:pt>
                <c:pt idx="3">
                  <c:v>62.863512</c:v>
                </c:pt>
                <c:pt idx="4">
                  <c:v>65.035116000000002</c:v>
                </c:pt>
                <c:pt idx="5">
                  <c:v>67.801523999999986</c:v>
                </c:pt>
                <c:pt idx="6">
                  <c:v>69.896916000000004</c:v>
                </c:pt>
                <c:pt idx="7">
                  <c:v>71.958144000000004</c:v>
                </c:pt>
                <c:pt idx="8">
                  <c:v>73.923887999999991</c:v>
                </c:pt>
                <c:pt idx="9">
                  <c:v>75.808163999999991</c:v>
                </c:pt>
                <c:pt idx="10">
                  <c:v>79.954272000000003</c:v>
                </c:pt>
                <c:pt idx="11">
                  <c:v>83.494187999999994</c:v>
                </c:pt>
                <c:pt idx="12">
                  <c:v>87.159372000000005</c:v>
                </c:pt>
                <c:pt idx="13">
                  <c:v>90.956832000000006</c:v>
                </c:pt>
                <c:pt idx="14">
                  <c:v>94.895327999999992</c:v>
                </c:pt>
                <c:pt idx="15">
                  <c:v>98.606940000000009</c:v>
                </c:pt>
                <c:pt idx="16">
                  <c:v>102.24409200000001</c:v>
                </c:pt>
                <c:pt idx="17">
                  <c:v>105.78313199999999</c:v>
                </c:pt>
                <c:pt idx="18">
                  <c:v>109.21179600000001</c:v>
                </c:pt>
                <c:pt idx="19">
                  <c:v>110.33920799999999</c:v>
                </c:pt>
              </c:numCache>
            </c:numRef>
          </c:val>
        </c:ser>
        <c:ser>
          <c:idx val="2"/>
          <c:order val="2"/>
          <c:tx>
            <c:strRef>
              <c:f>DemandBreakdown!$CN$73</c:f>
              <c:strCache>
                <c:ptCount val="1"/>
                <c:pt idx="0">
                  <c:v>Rural</c:v>
                </c:pt>
              </c:strCache>
            </c:strRef>
          </c:tx>
          <c:cat>
            <c:numRef>
              <c:f>DemandBreakdown!$CP$70:$DI$70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DemandBreakdown!$CP$73:$DI$73</c:f>
              <c:numCache>
                <c:formatCode>0.00</c:formatCode>
                <c:ptCount val="20"/>
                <c:pt idx="0">
                  <c:v>0.99688799999999989</c:v>
                </c:pt>
                <c:pt idx="1">
                  <c:v>1.4506559999999999</c:v>
                </c:pt>
                <c:pt idx="2">
                  <c:v>1.7090760000000003</c:v>
                </c:pt>
                <c:pt idx="3">
                  <c:v>1.995528</c:v>
                </c:pt>
                <c:pt idx="4">
                  <c:v>2.3240280000000002</c:v>
                </c:pt>
                <c:pt idx="5">
                  <c:v>2.7883079999999998</c:v>
                </c:pt>
                <c:pt idx="6">
                  <c:v>3.2823719999999996</c:v>
                </c:pt>
                <c:pt idx="7">
                  <c:v>3.8438880000000002</c:v>
                </c:pt>
                <c:pt idx="8">
                  <c:v>4.493004</c:v>
                </c:pt>
                <c:pt idx="9">
                  <c:v>5.2717679999999989</c:v>
                </c:pt>
                <c:pt idx="10">
                  <c:v>6.1468920000000002</c:v>
                </c:pt>
                <c:pt idx="11">
                  <c:v>7.0325279999999992</c:v>
                </c:pt>
                <c:pt idx="12">
                  <c:v>8.000508</c:v>
                </c:pt>
                <c:pt idx="13">
                  <c:v>9.0552119999999992</c:v>
                </c:pt>
                <c:pt idx="14">
                  <c:v>10.200144</c:v>
                </c:pt>
                <c:pt idx="15">
                  <c:v>11.395884000000001</c:v>
                </c:pt>
                <c:pt idx="16">
                  <c:v>12.663455999999998</c:v>
                </c:pt>
                <c:pt idx="17">
                  <c:v>13.995852000000001</c:v>
                </c:pt>
                <c:pt idx="18">
                  <c:v>15.393071999999998</c:v>
                </c:pt>
                <c:pt idx="19">
                  <c:v>16.474056000000001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98720"/>
        <c:axId val="207600256"/>
      </c:areaChart>
      <c:catAx>
        <c:axId val="2075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07600256"/>
        <c:crosses val="autoZero"/>
        <c:auto val="1"/>
        <c:lblAlgn val="ctr"/>
        <c:lblOffset val="100"/>
        <c:noMultiLvlLbl val="0"/>
      </c:catAx>
      <c:valAx>
        <c:axId val="2076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Final Electricity Demand  (TWh)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07598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318326740186503"/>
          <c:y val="0.11980232576586865"/>
          <c:w val="0.19258326993456859"/>
          <c:h val="0.21019484299432897"/>
        </c:manualLayout>
      </c:layout>
      <c:overlay val="1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Kenya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Data'!$C$6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cat>
            <c:numRef>
              <c:f>'Available Data'!$D$5:$I$5</c:f>
              <c:numCache>
                <c:formatCode>General</c:formatCode>
                <c:ptCount val="6"/>
                <c:pt idx="0">
                  <c:v>2002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Data'!$D$6:$I$6</c:f>
              <c:numCache>
                <c:formatCode>0</c:formatCode>
                <c:ptCount val="6"/>
                <c:pt idx="0">
                  <c:v>3.6</c:v>
                </c:pt>
                <c:pt idx="1">
                  <c:v>15.415842537050731</c:v>
                </c:pt>
                <c:pt idx="2">
                  <c:v>32.568436938934028</c:v>
                </c:pt>
                <c:pt idx="3">
                  <c:v>50.884660472215771</c:v>
                </c:pt>
                <c:pt idx="4">
                  <c:v>73.438465351849459</c:v>
                </c:pt>
                <c:pt idx="5">
                  <c:v>99.831597535392177</c:v>
                </c:pt>
              </c:numCache>
            </c:numRef>
          </c:val>
        </c:ser>
        <c:ser>
          <c:idx val="1"/>
          <c:order val="1"/>
          <c:tx>
            <c:strRef>
              <c:f>'Available Data'!$C$7</c:f>
              <c:strCache>
                <c:ptCount val="1"/>
                <c:pt idx="0">
                  <c:v>Urban</c:v>
                </c:pt>
              </c:strCache>
            </c:strRef>
          </c:tx>
          <c:invertIfNegative val="0"/>
          <c:cat>
            <c:numRef>
              <c:f>'Available Data'!$D$5:$I$5</c:f>
              <c:numCache>
                <c:formatCode>General</c:formatCode>
                <c:ptCount val="6"/>
                <c:pt idx="0">
                  <c:v>2002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Data'!$D$7:$I$7</c:f>
              <c:numCache>
                <c:formatCode>0</c:formatCode>
                <c:ptCount val="6"/>
                <c:pt idx="0">
                  <c:v>90.599999999999966</c:v>
                </c:pt>
                <c:pt idx="1">
                  <c:v>171.1135061967199</c:v>
                </c:pt>
                <c:pt idx="2">
                  <c:v>272.19132401375464</c:v>
                </c:pt>
                <c:pt idx="3">
                  <c:v>431.41551167188766</c:v>
                </c:pt>
                <c:pt idx="4">
                  <c:v>631.36357326184327</c:v>
                </c:pt>
                <c:pt idx="5">
                  <c:v>910.67125706361094</c:v>
                </c:pt>
              </c:numCache>
            </c:numRef>
          </c:val>
        </c:ser>
        <c:ser>
          <c:idx val="2"/>
          <c:order val="2"/>
          <c:tx>
            <c:strRef>
              <c:f>'Available Data'!$C$8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Data'!$D$5:$I$5</c:f>
              <c:numCache>
                <c:formatCode>General</c:formatCode>
                <c:ptCount val="6"/>
                <c:pt idx="0">
                  <c:v>2002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Data'!$D$8:$I$8</c:f>
              <c:numCache>
                <c:formatCode>0</c:formatCode>
                <c:ptCount val="6"/>
                <c:pt idx="0">
                  <c:v>49.20000000000001</c:v>
                </c:pt>
                <c:pt idx="1">
                  <c:v>88.033165960912129</c:v>
                </c:pt>
                <c:pt idx="2">
                  <c:v>128.71951916248202</c:v>
                </c:pt>
                <c:pt idx="3">
                  <c:v>180.13213162619274</c:v>
                </c:pt>
                <c:pt idx="4">
                  <c:v>248.61229395634632</c:v>
                </c:pt>
                <c:pt idx="5">
                  <c:v>340.34002465269509</c:v>
                </c:pt>
              </c:numCache>
            </c:numRef>
          </c:val>
        </c:ser>
        <c:ser>
          <c:idx val="3"/>
          <c:order val="3"/>
          <c:tx>
            <c:strRef>
              <c:f>'Available Data'!$C$9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Ref>
              <c:f>'Available Data'!$D$5:$I$5</c:f>
              <c:numCache>
                <c:formatCode>General</c:formatCode>
                <c:ptCount val="6"/>
                <c:pt idx="0">
                  <c:v>2002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Data'!$D$9:$I$9</c:f>
              <c:numCache>
                <c:formatCode>0</c:formatCode>
                <c:ptCount val="6"/>
                <c:pt idx="0">
                  <c:v>200.99999999999991</c:v>
                </c:pt>
                <c:pt idx="1">
                  <c:v>324.19593517608484</c:v>
                </c:pt>
                <c:pt idx="2">
                  <c:v>454.15806000909049</c:v>
                </c:pt>
                <c:pt idx="3">
                  <c:v>641.36898903286522</c:v>
                </c:pt>
                <c:pt idx="4">
                  <c:v>903.04514677761335</c:v>
                </c:pt>
                <c:pt idx="5">
                  <c:v>1288.1578610038723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46944"/>
        <c:axId val="207748480"/>
      </c:barChart>
      <c:catAx>
        <c:axId val="2077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48480"/>
        <c:crosses val="autoZero"/>
        <c:auto val="1"/>
        <c:lblAlgn val="ctr"/>
        <c:lblOffset val="100"/>
        <c:noMultiLvlLbl val="0"/>
      </c:catAx>
      <c:valAx>
        <c:axId val="207748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774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Malawi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Data'!$C$57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cat>
            <c:numRef>
              <c:f>'Available Data'!$D$56:$H$56</c:f>
              <c:numCache>
                <c:formatCode>General</c:formatCode>
                <c:ptCount val="5"/>
                <c:pt idx="0">
                  <c:v>2008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Data'!$D$57:$H$57</c:f>
              <c:numCache>
                <c:formatCode>0</c:formatCode>
                <c:ptCount val="5"/>
                <c:pt idx="0">
                  <c:v>1.179000000000002</c:v>
                </c:pt>
                <c:pt idx="1">
                  <c:v>45.726178145746545</c:v>
                </c:pt>
                <c:pt idx="2">
                  <c:v>87.774274987249925</c:v>
                </c:pt>
                <c:pt idx="3">
                  <c:v>140.07607434647005</c:v>
                </c:pt>
                <c:pt idx="4">
                  <c:v>184.97225157668839</c:v>
                </c:pt>
              </c:numCache>
            </c:numRef>
          </c:val>
        </c:ser>
        <c:ser>
          <c:idx val="1"/>
          <c:order val="1"/>
          <c:tx>
            <c:strRef>
              <c:f>'Available Data'!$C$58</c:f>
              <c:strCache>
                <c:ptCount val="1"/>
                <c:pt idx="0">
                  <c:v>Urban</c:v>
                </c:pt>
              </c:strCache>
            </c:strRef>
          </c:tx>
          <c:invertIfNegative val="0"/>
          <c:cat>
            <c:numRef>
              <c:f>'Available Data'!$D$56:$H$56</c:f>
              <c:numCache>
                <c:formatCode>General</c:formatCode>
                <c:ptCount val="5"/>
                <c:pt idx="0">
                  <c:v>2008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Data'!$D$58:$H$58</c:f>
              <c:numCache>
                <c:formatCode>0</c:formatCode>
                <c:ptCount val="5"/>
                <c:pt idx="0">
                  <c:v>38.121000000000009</c:v>
                </c:pt>
                <c:pt idx="1">
                  <c:v>99.624420103226697</c:v>
                </c:pt>
                <c:pt idx="2">
                  <c:v>192.64243474912286</c:v>
                </c:pt>
                <c:pt idx="3">
                  <c:v>367.06917142803331</c:v>
                </c:pt>
                <c:pt idx="4">
                  <c:v>626.46150604174863</c:v>
                </c:pt>
              </c:numCache>
            </c:numRef>
          </c:val>
        </c:ser>
        <c:ser>
          <c:idx val="2"/>
          <c:order val="2"/>
          <c:tx>
            <c:strRef>
              <c:f>'Available Data'!$C$59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Data'!$D$56:$H$56</c:f>
              <c:numCache>
                <c:formatCode>General</c:formatCode>
                <c:ptCount val="5"/>
                <c:pt idx="0">
                  <c:v>2008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Data'!$D$59:$H$59</c:f>
              <c:numCache>
                <c:formatCode>0</c:formatCode>
                <c:ptCount val="5"/>
                <c:pt idx="0">
                  <c:v>23.49</c:v>
                </c:pt>
                <c:pt idx="1">
                  <c:v>53.164363215591045</c:v>
                </c:pt>
                <c:pt idx="2">
                  <c:v>90.306357307275576</c:v>
                </c:pt>
                <c:pt idx="3">
                  <c:v>133.02884177074355</c:v>
                </c:pt>
                <c:pt idx="4">
                  <c:v>164.18008288063811</c:v>
                </c:pt>
              </c:numCache>
            </c:numRef>
          </c:val>
        </c:ser>
        <c:ser>
          <c:idx val="3"/>
          <c:order val="3"/>
          <c:tx>
            <c:strRef>
              <c:f>'Available Data'!$C$60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Ref>
              <c:f>'Available Data'!$D$56:$H$56</c:f>
              <c:numCache>
                <c:formatCode>General</c:formatCode>
                <c:ptCount val="5"/>
                <c:pt idx="0">
                  <c:v>2008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Data'!$D$60:$H$60</c:f>
              <c:numCache>
                <c:formatCode>0</c:formatCode>
                <c:ptCount val="5"/>
                <c:pt idx="0">
                  <c:v>42.029999999999987</c:v>
                </c:pt>
                <c:pt idx="1">
                  <c:v>98.811645232879656</c:v>
                </c:pt>
                <c:pt idx="2">
                  <c:v>187.06267135746381</c:v>
                </c:pt>
                <c:pt idx="3">
                  <c:v>337.4516316642742</c:v>
                </c:pt>
                <c:pt idx="4">
                  <c:v>557.56775943117259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846080"/>
        <c:axId val="234847616"/>
      </c:barChart>
      <c:catAx>
        <c:axId val="2348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847616"/>
        <c:crosses val="autoZero"/>
        <c:auto val="1"/>
        <c:lblAlgn val="ctr"/>
        <c:lblOffset val="100"/>
        <c:noMultiLvlLbl val="0"/>
      </c:catAx>
      <c:valAx>
        <c:axId val="234847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8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Cote d'Ivoire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Data'!$C$30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cat>
            <c:numRef>
              <c:f>'Available Data'!$E$22:$I$22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Data'!$E$30:$I$30</c:f>
              <c:numCache>
                <c:formatCode>0%</c:formatCode>
                <c:ptCount val="5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'Available Data'!$C$31</c:f>
              <c:strCache>
                <c:ptCount val="1"/>
                <c:pt idx="0">
                  <c:v>Urban</c:v>
                </c:pt>
              </c:strCache>
            </c:strRef>
          </c:tx>
          <c:invertIfNegative val="0"/>
          <c:cat>
            <c:numRef>
              <c:f>'Available Data'!$E$22:$I$22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Data'!$E$31:$I$31</c:f>
              <c:numCache>
                <c:formatCode>0%</c:formatCode>
                <c:ptCount val="5"/>
                <c:pt idx="0">
                  <c:v>0.32</c:v>
                </c:pt>
                <c:pt idx="1">
                  <c:v>0.32250000000000001</c:v>
                </c:pt>
                <c:pt idx="2">
                  <c:v>0.31</c:v>
                </c:pt>
                <c:pt idx="3">
                  <c:v>0.29749999999999999</c:v>
                </c:pt>
                <c:pt idx="4">
                  <c:v>0.28499999999999998</c:v>
                </c:pt>
              </c:numCache>
            </c:numRef>
          </c:val>
        </c:ser>
        <c:ser>
          <c:idx val="2"/>
          <c:order val="2"/>
          <c:tx>
            <c:strRef>
              <c:f>'Available Data'!$C$32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Data'!$E$22:$I$22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Data'!$E$32:$I$32</c:f>
              <c:numCache>
                <c:formatCode>0%</c:formatCode>
                <c:ptCount val="5"/>
                <c:pt idx="0">
                  <c:v>0.3</c:v>
                </c:pt>
                <c:pt idx="1">
                  <c:v>0.32249999999999995</c:v>
                </c:pt>
                <c:pt idx="2">
                  <c:v>0.30999999999999994</c:v>
                </c:pt>
                <c:pt idx="3">
                  <c:v>0.29749999999999999</c:v>
                </c:pt>
                <c:pt idx="4">
                  <c:v>0.28500000000000003</c:v>
                </c:pt>
              </c:numCache>
            </c:numRef>
          </c:val>
        </c:ser>
        <c:ser>
          <c:idx val="3"/>
          <c:order val="3"/>
          <c:tx>
            <c:strRef>
              <c:f>'Available Data'!$C$33</c:f>
              <c:strCache>
                <c:ptCount val="1"/>
                <c:pt idx="0">
                  <c:v>Industry(*) heavy industry is a small share</c:v>
                </c:pt>
              </c:strCache>
            </c:strRef>
          </c:tx>
          <c:invertIfNegative val="0"/>
          <c:cat>
            <c:numRef>
              <c:f>'Available Data'!$E$22:$I$22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Data'!$E$33:$I$33</c:f>
              <c:numCache>
                <c:formatCode>0%</c:formatCode>
                <c:ptCount val="5"/>
                <c:pt idx="0">
                  <c:v>0.3</c:v>
                </c:pt>
                <c:pt idx="1">
                  <c:v>0.32500000000000001</c:v>
                </c:pt>
                <c:pt idx="2">
                  <c:v>0.35</c:v>
                </c:pt>
                <c:pt idx="3">
                  <c:v>0.375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874752"/>
        <c:axId val="234876288"/>
      </c:barChart>
      <c:catAx>
        <c:axId val="2348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876288"/>
        <c:crosses val="autoZero"/>
        <c:auto val="1"/>
        <c:lblAlgn val="ctr"/>
        <c:lblOffset val="100"/>
        <c:noMultiLvlLbl val="0"/>
      </c:catAx>
      <c:valAx>
        <c:axId val="234876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87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Africa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Data'!$C$40</c:f>
              <c:strCache>
                <c:ptCount val="1"/>
                <c:pt idx="0">
                  <c:v>Low Income hh</c:v>
                </c:pt>
              </c:strCache>
            </c:strRef>
          </c:tx>
          <c:invertIfNegative val="0"/>
          <c:cat>
            <c:numRef>
              <c:f>'Available Data'!$D$39:$H$39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Data'!$D$40:$H$40</c:f>
              <c:numCache>
                <c:formatCode>0</c:formatCode>
                <c:ptCount val="5"/>
                <c:pt idx="0">
                  <c:v>20.706200018292293</c:v>
                </c:pt>
                <c:pt idx="1">
                  <c:v>14.619299986865371</c:v>
                </c:pt>
                <c:pt idx="2">
                  <c:v>11.071999984967988</c:v>
                </c:pt>
                <c:pt idx="3">
                  <c:v>5.6989000246394426</c:v>
                </c:pt>
                <c:pt idx="4">
                  <c:v>5.3118999907746911</c:v>
                </c:pt>
              </c:numCache>
            </c:numRef>
          </c:val>
        </c:ser>
        <c:ser>
          <c:idx val="1"/>
          <c:order val="1"/>
          <c:tx>
            <c:strRef>
              <c:f>'Available Data'!$C$41</c:f>
              <c:strCache>
                <c:ptCount val="1"/>
                <c:pt idx="0">
                  <c:v>Other hh</c:v>
                </c:pt>
              </c:strCache>
            </c:strRef>
          </c:tx>
          <c:invertIfNegative val="0"/>
          <c:cat>
            <c:numRef>
              <c:f>'Available Data'!$D$39:$H$39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Data'!$D$41:$H$41</c:f>
              <c:numCache>
                <c:formatCode>0</c:formatCode>
                <c:ptCount val="5"/>
                <c:pt idx="0">
                  <c:v>126.56679996871389</c:v>
                </c:pt>
                <c:pt idx="1">
                  <c:v>140.21529958979227</c:v>
                </c:pt>
                <c:pt idx="2">
                  <c:v>192.16740052122623</c:v>
                </c:pt>
                <c:pt idx="3">
                  <c:v>217.10629958473146</c:v>
                </c:pt>
                <c:pt idx="4">
                  <c:v>251.70920003112406</c:v>
                </c:pt>
              </c:numCache>
            </c:numRef>
          </c:val>
        </c:ser>
        <c:ser>
          <c:idx val="2"/>
          <c:order val="2"/>
          <c:tx>
            <c:strRef>
              <c:f>'Available Data'!$C$42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Data'!$D$39:$H$39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Data'!$D$42:$H$42</c:f>
              <c:numCache>
                <c:formatCode>0</c:formatCode>
                <c:ptCount val="5"/>
                <c:pt idx="0">
                  <c:v>106.75969998800429</c:v>
                </c:pt>
                <c:pt idx="1">
                  <c:v>115.18089967669221</c:v>
                </c:pt>
                <c:pt idx="2">
                  <c:v>134.1098997023073</c:v>
                </c:pt>
                <c:pt idx="3">
                  <c:v>143.80750012726639</c:v>
                </c:pt>
                <c:pt idx="4">
                  <c:v>158.28769944221131</c:v>
                </c:pt>
              </c:numCache>
            </c:numRef>
          </c:val>
        </c:ser>
        <c:ser>
          <c:idx val="3"/>
          <c:order val="3"/>
          <c:tx>
            <c:strRef>
              <c:f>'Available Data'!$C$43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Ref>
              <c:f>'Available Data'!$D$39:$H$39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cat>
          <c:val>
            <c:numRef>
              <c:f>'Available Data'!$D$43:$H$43</c:f>
              <c:numCache>
                <c:formatCode>0</c:formatCode>
                <c:ptCount val="5"/>
                <c:pt idx="0">
                  <c:v>520.69649972696789</c:v>
                </c:pt>
                <c:pt idx="1">
                  <c:v>612.42249947987148</c:v>
                </c:pt>
                <c:pt idx="2">
                  <c:v>732.19399959081784</c:v>
                </c:pt>
                <c:pt idx="3">
                  <c:v>880.7081997722853</c:v>
                </c:pt>
                <c:pt idx="4">
                  <c:v>1077.4408972035162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981248"/>
        <c:axId val="234982784"/>
      </c:barChart>
      <c:catAx>
        <c:axId val="2349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982784"/>
        <c:crosses val="autoZero"/>
        <c:auto val="1"/>
        <c:lblAlgn val="ctr"/>
        <c:lblOffset val="100"/>
        <c:noMultiLvlLbl val="0"/>
      </c:catAx>
      <c:valAx>
        <c:axId val="23498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98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Niger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Data'!$C$76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cat>
            <c:numRef>
              <c:f>'Available Data'!$D$75:$I$75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Data'!$D$76:$I$76</c:f>
              <c:numCache>
                <c:formatCode>0</c:formatCode>
                <c:ptCount val="6"/>
                <c:pt idx="0">
                  <c:v>0.17372000000000004</c:v>
                </c:pt>
                <c:pt idx="1">
                  <c:v>2.1377744122921443</c:v>
                </c:pt>
                <c:pt idx="2">
                  <c:v>6.3724205291244873</c:v>
                </c:pt>
                <c:pt idx="3">
                  <c:v>14.833482199718038</c:v>
                </c:pt>
                <c:pt idx="4">
                  <c:v>23.228690087060798</c:v>
                </c:pt>
                <c:pt idx="5">
                  <c:v>30.688072249163106</c:v>
                </c:pt>
              </c:numCache>
            </c:numRef>
          </c:val>
        </c:ser>
        <c:ser>
          <c:idx val="1"/>
          <c:order val="1"/>
          <c:tx>
            <c:strRef>
              <c:f>'Available Data'!$C$77</c:f>
              <c:strCache>
                <c:ptCount val="1"/>
                <c:pt idx="0">
                  <c:v>Urban</c:v>
                </c:pt>
              </c:strCache>
            </c:strRef>
          </c:tx>
          <c:invertIfNegative val="0"/>
          <c:cat>
            <c:numRef>
              <c:f>'Available Data'!$D$75:$I$75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Data'!$D$77:$I$77</c:f>
              <c:numCache>
                <c:formatCode>0</c:formatCode>
                <c:ptCount val="6"/>
                <c:pt idx="0">
                  <c:v>17.19828</c:v>
                </c:pt>
                <c:pt idx="1">
                  <c:v>32.233469367743048</c:v>
                </c:pt>
                <c:pt idx="2">
                  <c:v>54.122620147345152</c:v>
                </c:pt>
                <c:pt idx="3">
                  <c:v>82.564786674074455</c:v>
                </c:pt>
                <c:pt idx="4">
                  <c:v>119.61401305753583</c:v>
                </c:pt>
                <c:pt idx="5">
                  <c:v>182.27870433703106</c:v>
                </c:pt>
              </c:numCache>
            </c:numRef>
          </c:val>
        </c:ser>
        <c:ser>
          <c:idx val="2"/>
          <c:order val="2"/>
          <c:tx>
            <c:strRef>
              <c:f>'Available Data'!$C$78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Data'!$D$75:$I$75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Data'!$D$78:$I$78</c:f>
              <c:numCache>
                <c:formatCode>0</c:formatCode>
                <c:ptCount val="6"/>
                <c:pt idx="0">
                  <c:v>5.2899999999999991</c:v>
                </c:pt>
                <c:pt idx="1">
                  <c:v>7.9253297890938601</c:v>
                </c:pt>
                <c:pt idx="2">
                  <c:v>12.732863118102387</c:v>
                </c:pt>
                <c:pt idx="3">
                  <c:v>19.707155504063714</c:v>
                </c:pt>
                <c:pt idx="4">
                  <c:v>30.266543763710441</c:v>
                </c:pt>
                <c:pt idx="5">
                  <c:v>47.039239720693175</c:v>
                </c:pt>
              </c:numCache>
            </c:numRef>
          </c:val>
        </c:ser>
        <c:ser>
          <c:idx val="3"/>
          <c:order val="3"/>
          <c:tx>
            <c:strRef>
              <c:f>'Available Data'!$C$79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Ref>
              <c:f>'Available Data'!$D$75:$I$75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Data'!$D$79:$I$79</c:f>
              <c:numCache>
                <c:formatCode>0</c:formatCode>
                <c:ptCount val="6"/>
                <c:pt idx="0">
                  <c:v>16.862266191178211</c:v>
                </c:pt>
                <c:pt idx="1">
                  <c:v>90.512173803129741</c:v>
                </c:pt>
                <c:pt idx="2">
                  <c:v>224.19760411367741</c:v>
                </c:pt>
                <c:pt idx="3">
                  <c:v>451.24398535638181</c:v>
                </c:pt>
                <c:pt idx="4">
                  <c:v>849.50890067348951</c:v>
                </c:pt>
                <c:pt idx="5">
                  <c:v>1537.7606206853529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018112"/>
        <c:axId val="235019648"/>
      </c:barChart>
      <c:catAx>
        <c:axId val="2350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019648"/>
        <c:crosses val="autoZero"/>
        <c:auto val="1"/>
        <c:lblAlgn val="ctr"/>
        <c:lblOffset val="100"/>
        <c:noMultiLvlLbl val="0"/>
      </c:catAx>
      <c:valAx>
        <c:axId val="235019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501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Zimbabwe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Data'!$C$95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cat>
            <c:numRef>
              <c:f>'Available Data'!$D$94:$I$94</c:f>
              <c:numCache>
                <c:formatCode>General</c:formatCode>
                <c:ptCount val="6"/>
                <c:pt idx="0">
                  <c:v>2004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Data'!$D$95:$I$95</c:f>
              <c:numCache>
                <c:formatCode>0</c:formatCode>
                <c:ptCount val="6"/>
                <c:pt idx="0">
                  <c:v>11.31844002918336</c:v>
                </c:pt>
                <c:pt idx="1">
                  <c:v>24.570059521323593</c:v>
                </c:pt>
                <c:pt idx="2">
                  <c:v>35.581244132652799</c:v>
                </c:pt>
                <c:pt idx="3">
                  <c:v>46.5829475973363</c:v>
                </c:pt>
                <c:pt idx="4">
                  <c:v>57.441417520182171</c:v>
                </c:pt>
                <c:pt idx="5">
                  <c:v>65.229273680073817</c:v>
                </c:pt>
              </c:numCache>
            </c:numRef>
          </c:val>
        </c:ser>
        <c:ser>
          <c:idx val="1"/>
          <c:order val="1"/>
          <c:tx>
            <c:strRef>
              <c:f>'Available Data'!$C$96</c:f>
              <c:strCache>
                <c:ptCount val="1"/>
                <c:pt idx="0">
                  <c:v>Urban</c:v>
                </c:pt>
              </c:strCache>
            </c:strRef>
          </c:tx>
          <c:invertIfNegative val="0"/>
          <c:cat>
            <c:numRef>
              <c:f>'Available Data'!$D$94:$I$94</c:f>
              <c:numCache>
                <c:formatCode>General</c:formatCode>
                <c:ptCount val="6"/>
                <c:pt idx="0">
                  <c:v>2004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Data'!$D$96:$I$96</c:f>
              <c:numCache>
                <c:formatCode>0</c:formatCode>
                <c:ptCount val="6"/>
                <c:pt idx="0">
                  <c:v>236.66092368534802</c:v>
                </c:pt>
                <c:pt idx="1">
                  <c:v>344.87362303509059</c:v>
                </c:pt>
                <c:pt idx="2">
                  <c:v>454.37341032889015</c:v>
                </c:pt>
                <c:pt idx="3">
                  <c:v>567.66733422378286</c:v>
                </c:pt>
                <c:pt idx="4">
                  <c:v>694.60791281408194</c:v>
                </c:pt>
                <c:pt idx="5">
                  <c:v>818.12357802266649</c:v>
                </c:pt>
              </c:numCache>
            </c:numRef>
          </c:val>
        </c:ser>
        <c:ser>
          <c:idx val="2"/>
          <c:order val="2"/>
          <c:tx>
            <c:strRef>
              <c:f>'Available Data'!$C$97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Data'!$D$94:$I$94</c:f>
              <c:numCache>
                <c:formatCode>General</c:formatCode>
                <c:ptCount val="6"/>
                <c:pt idx="0">
                  <c:v>2004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Data'!$D$97:$I$97</c:f>
              <c:numCache>
                <c:formatCode>0</c:formatCode>
                <c:ptCount val="6"/>
                <c:pt idx="0">
                  <c:v>123.13044066768214</c:v>
                </c:pt>
                <c:pt idx="1">
                  <c:v>140.30910024878403</c:v>
                </c:pt>
                <c:pt idx="2">
                  <c:v>178.61893027103471</c:v>
                </c:pt>
                <c:pt idx="3">
                  <c:v>220.89990308475819</c:v>
                </c:pt>
                <c:pt idx="4">
                  <c:v>270.45043947841566</c:v>
                </c:pt>
                <c:pt idx="5">
                  <c:v>330.39957592693042</c:v>
                </c:pt>
              </c:numCache>
            </c:numRef>
          </c:val>
        </c:ser>
        <c:ser>
          <c:idx val="3"/>
          <c:order val="3"/>
          <c:tx>
            <c:strRef>
              <c:f>'Available Data'!$C$98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Ref>
              <c:f>'Available Data'!$D$94:$I$94</c:f>
              <c:numCache>
                <c:formatCode>General</c:formatCode>
                <c:ptCount val="6"/>
                <c:pt idx="0">
                  <c:v>2004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'Available Data'!$D$98:$I$98</c:f>
              <c:numCache>
                <c:formatCode>0</c:formatCode>
                <c:ptCount val="6"/>
                <c:pt idx="0">
                  <c:v>493.70581772105811</c:v>
                </c:pt>
                <c:pt idx="1">
                  <c:v>451.21399928878475</c:v>
                </c:pt>
                <c:pt idx="2">
                  <c:v>544.4020063370333</c:v>
                </c:pt>
                <c:pt idx="3">
                  <c:v>696.48923689947947</c:v>
                </c:pt>
                <c:pt idx="4">
                  <c:v>917.56556917976695</c:v>
                </c:pt>
                <c:pt idx="5">
                  <c:v>1220.0348316608595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042688"/>
        <c:axId val="235044224"/>
      </c:barChart>
      <c:catAx>
        <c:axId val="2350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044224"/>
        <c:crosses val="autoZero"/>
        <c:auto val="1"/>
        <c:lblAlgn val="ctr"/>
        <c:lblOffset val="100"/>
        <c:noMultiLvlLbl val="0"/>
      </c:catAx>
      <c:valAx>
        <c:axId val="235044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504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Burkina</a:t>
            </a:r>
            <a:r>
              <a:rPr lang="en-US" baseline="0"/>
              <a:t> Faso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'Available Data'!$C$112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cat>
            <c:numRef>
              <c:f>'Available Data'!$D$111:$J$111</c:f>
              <c:numCache>
                <c:formatCode>General</c:formatCode>
                <c:ptCount val="7"/>
                <c:pt idx="0">
                  <c:v>2002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</c:numCache>
            </c:numRef>
          </c:cat>
          <c:val>
            <c:numRef>
              <c:f>'Available Data'!$D$112:$J$112</c:f>
              <c:numCache>
                <c:formatCode>0</c:formatCode>
                <c:ptCount val="7"/>
              </c:numCache>
            </c:numRef>
          </c:val>
        </c:ser>
        <c:ser>
          <c:idx val="1"/>
          <c:order val="1"/>
          <c:tx>
            <c:strRef>
              <c:f>'Available Data'!$C$113</c:f>
              <c:strCache>
                <c:ptCount val="1"/>
                <c:pt idx="0">
                  <c:v>Urban</c:v>
                </c:pt>
              </c:strCache>
            </c:strRef>
          </c:tx>
          <c:invertIfNegative val="0"/>
          <c:cat>
            <c:numRef>
              <c:f>'Available Data'!$D$111:$J$111</c:f>
              <c:numCache>
                <c:formatCode>General</c:formatCode>
                <c:ptCount val="7"/>
                <c:pt idx="0">
                  <c:v>2002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</c:numCache>
            </c:numRef>
          </c:cat>
          <c:val>
            <c:numRef>
              <c:f>'Available Data'!$D$113:$J$113</c:f>
              <c:numCache>
                <c:formatCode>0</c:formatCode>
                <c:ptCount val="7"/>
                <c:pt idx="0">
                  <c:v>5.2000000000000011</c:v>
                </c:pt>
                <c:pt idx="1">
                  <c:v>7.9297112013794901</c:v>
                </c:pt>
                <c:pt idx="2">
                  <c:v>26.760095731238842</c:v>
                </c:pt>
                <c:pt idx="3">
                  <c:v>62.662918311298554</c:v>
                </c:pt>
                <c:pt idx="4">
                  <c:v>115.86098017818141</c:v>
                </c:pt>
                <c:pt idx="5">
                  <c:v>192.20034720688886</c:v>
                </c:pt>
                <c:pt idx="6" formatCode="General">
                  <c:v>205.04901445204632</c:v>
                </c:pt>
              </c:numCache>
            </c:numRef>
          </c:val>
        </c:ser>
        <c:ser>
          <c:idx val="2"/>
          <c:order val="2"/>
          <c:tx>
            <c:strRef>
              <c:f>'Available Data'!$C$114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numRef>
              <c:f>'Available Data'!$D$111:$J$111</c:f>
              <c:numCache>
                <c:formatCode>General</c:formatCode>
                <c:ptCount val="7"/>
                <c:pt idx="0">
                  <c:v>2002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</c:numCache>
            </c:numRef>
          </c:cat>
          <c:val>
            <c:numRef>
              <c:f>'Available Data'!$D$114:$J$114</c:f>
              <c:numCache>
                <c:formatCode>0</c:formatCode>
                <c:ptCount val="7"/>
                <c:pt idx="0">
                  <c:v>19.900000000000002</c:v>
                </c:pt>
                <c:pt idx="1">
                  <c:v>25.065720500938301</c:v>
                </c:pt>
                <c:pt idx="2">
                  <c:v>36.341749175153808</c:v>
                </c:pt>
                <c:pt idx="3">
                  <c:v>53.706663199323302</c:v>
                </c:pt>
                <c:pt idx="4">
                  <c:v>78.917949333763488</c:v>
                </c:pt>
                <c:pt idx="5">
                  <c:v>115.08371519832735</c:v>
                </c:pt>
                <c:pt idx="6" formatCode="General">
                  <c:v>123.67372163249638</c:v>
                </c:pt>
              </c:numCache>
            </c:numRef>
          </c:val>
        </c:ser>
        <c:ser>
          <c:idx val="3"/>
          <c:order val="3"/>
          <c:tx>
            <c:strRef>
              <c:f>'Available Data'!$C$115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numRef>
              <c:f>'Available Data'!$D$111:$J$111</c:f>
              <c:numCache>
                <c:formatCode>General</c:formatCode>
                <c:ptCount val="7"/>
                <c:pt idx="0">
                  <c:v>2002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</c:numCache>
            </c:numRef>
          </c:cat>
          <c:val>
            <c:numRef>
              <c:f>'Available Data'!$D$115:$J$115</c:f>
              <c:numCache>
                <c:formatCode>0</c:formatCode>
                <c:ptCount val="7"/>
                <c:pt idx="0">
                  <c:v>10.868</c:v>
                </c:pt>
                <c:pt idx="1">
                  <c:v>13.961805128157723</c:v>
                </c:pt>
                <c:pt idx="2">
                  <c:v>27.57392865506764</c:v>
                </c:pt>
                <c:pt idx="3">
                  <c:v>59.597837207580852</c:v>
                </c:pt>
                <c:pt idx="4">
                  <c:v>123.63403809589157</c:v>
                </c:pt>
                <c:pt idx="5">
                  <c:v>234.4196369124148</c:v>
                </c:pt>
                <c:pt idx="6" formatCode="General">
                  <c:v>234.79922905896456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071360"/>
        <c:axId val="235072896"/>
      </c:barChart>
      <c:catAx>
        <c:axId val="2350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072896"/>
        <c:crosses val="autoZero"/>
        <c:auto val="1"/>
        <c:lblAlgn val="ctr"/>
        <c:lblOffset val="100"/>
        <c:noMultiLvlLbl val="0"/>
      </c:catAx>
      <c:valAx>
        <c:axId val="235072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507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SourceData!$Y$60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SourceData!$X$61:$X$65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SourceData!$Y$61:$Y$65</c:f>
              <c:numCache>
                <c:formatCode>_(* #,##0_);_(* \(#,##0\);_(* "-"??_);_(@_)</c:formatCode>
                <c:ptCount val="5"/>
                <c:pt idx="0">
                  <c:v>54.917652054794516</c:v>
                </c:pt>
                <c:pt idx="1">
                  <c:v>151.41874674253202</c:v>
                </c:pt>
                <c:pt idx="2">
                  <c:v>386.11022379459985</c:v>
                </c:pt>
                <c:pt idx="3">
                  <c:v>1015.7738219342796</c:v>
                </c:pt>
                <c:pt idx="4">
                  <c:v>2730.0724277777908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SourceData!$Z$60</c:f>
              <c:strCache>
                <c:ptCount val="1"/>
                <c:pt idx="0">
                  <c:v>Ref</c:v>
                </c:pt>
              </c:strCache>
            </c:strRef>
          </c:tx>
          <c:marker>
            <c:symbol val="none"/>
          </c:marker>
          <c:cat>
            <c:numRef>
              <c:f>SourceData!$X$61:$X$65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SourceData!$Z$61:$Z$65</c:f>
              <c:numCache>
                <c:formatCode>_(* #,##0_);_(* \(#,##0\);_(* "-"??_);_(@_)</c:formatCode>
                <c:ptCount val="5"/>
                <c:pt idx="0">
                  <c:v>51.535150000000002</c:v>
                </c:pt>
                <c:pt idx="1">
                  <c:v>119.23481</c:v>
                </c:pt>
                <c:pt idx="2">
                  <c:v>248.95460582429911</c:v>
                </c:pt>
                <c:pt idx="3">
                  <c:v>514.04992231798053</c:v>
                </c:pt>
                <c:pt idx="4">
                  <c:v>1004.2634172869958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SourceData!$AA$60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SourceData!$X$61:$X$65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SourceData!$AA$61:$AA$65</c:f>
              <c:numCache>
                <c:formatCode>_(* #,##0_);_(* \(#,##0\);_(* "-"??_);_(@_)</c:formatCode>
                <c:ptCount val="5"/>
                <c:pt idx="0">
                  <c:v>48.231350000000006</c:v>
                </c:pt>
                <c:pt idx="1">
                  <c:v>95.033960000000008</c:v>
                </c:pt>
                <c:pt idx="2">
                  <c:v>165.29699552893888</c:v>
                </c:pt>
                <c:pt idx="3">
                  <c:v>291.03248604760523</c:v>
                </c:pt>
                <c:pt idx="4">
                  <c:v>517.21606862645785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61600"/>
        <c:axId val="254363136"/>
      </c:lineChart>
      <c:catAx>
        <c:axId val="2543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363136"/>
        <c:crosses val="autoZero"/>
        <c:auto val="1"/>
        <c:lblAlgn val="ctr"/>
        <c:lblOffset val="100"/>
        <c:noMultiLvlLbl val="0"/>
      </c:catAx>
      <c:valAx>
        <c:axId val="25436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436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SourceData!$Y$60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SourceData!$X$61:$X$63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SourceData!$Y$61:$Y$63</c:f>
              <c:numCache>
                <c:formatCode>_(* #,##0_);_(* \(#,##0\);_(* "-"??_);_(@_)</c:formatCode>
                <c:ptCount val="3"/>
                <c:pt idx="0">
                  <c:v>54.917652054794516</c:v>
                </c:pt>
                <c:pt idx="1">
                  <c:v>151.41874674253202</c:v>
                </c:pt>
                <c:pt idx="2">
                  <c:v>386.11022379459985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SourceData!$Z$60</c:f>
              <c:strCache>
                <c:ptCount val="1"/>
                <c:pt idx="0">
                  <c:v>Ref</c:v>
                </c:pt>
              </c:strCache>
            </c:strRef>
          </c:tx>
          <c:marker>
            <c:symbol val="none"/>
          </c:marker>
          <c:cat>
            <c:numRef>
              <c:f>SourceData!$X$61:$X$63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SourceData!$Z$61:$Z$63</c:f>
              <c:numCache>
                <c:formatCode>_(* #,##0_);_(* \(#,##0\);_(* "-"??_);_(@_)</c:formatCode>
                <c:ptCount val="3"/>
                <c:pt idx="0">
                  <c:v>51.535150000000002</c:v>
                </c:pt>
                <c:pt idx="1">
                  <c:v>119.23481</c:v>
                </c:pt>
                <c:pt idx="2">
                  <c:v>248.95460582429911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SourceData!$AA$60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SourceData!$X$61:$X$63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SourceData!$AA$61:$AA$63</c:f>
              <c:numCache>
                <c:formatCode>_(* #,##0_);_(* \(#,##0\);_(* "-"??_);_(@_)</c:formatCode>
                <c:ptCount val="3"/>
                <c:pt idx="0">
                  <c:v>48.231350000000006</c:v>
                </c:pt>
                <c:pt idx="1">
                  <c:v>95.033960000000008</c:v>
                </c:pt>
                <c:pt idx="2">
                  <c:v>165.29699552893888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4736"/>
        <c:axId val="254807040"/>
      </c:lineChart>
      <c:catAx>
        <c:axId val="2548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807040"/>
        <c:crosses val="autoZero"/>
        <c:auto val="1"/>
        <c:lblAlgn val="ctr"/>
        <c:lblOffset val="100"/>
        <c:noMultiLvlLbl val="0"/>
      </c:catAx>
      <c:valAx>
        <c:axId val="25480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Demand (TWh)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48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SourceData!$Y$45</c:f>
              <c:strCache>
                <c:ptCount val="1"/>
                <c:pt idx="0">
                  <c:v>Liberia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SourceData!$Y$46:$Y$50</c:f>
              <c:numCache>
                <c:formatCode>0</c:formatCode>
                <c:ptCount val="5"/>
                <c:pt idx="0">
                  <c:v>0.105</c:v>
                </c:pt>
                <c:pt idx="1">
                  <c:v>0.35499999999999998</c:v>
                </c:pt>
                <c:pt idx="2">
                  <c:v>0.65079671093156033</c:v>
                </c:pt>
                <c:pt idx="3">
                  <c:v>1.1766446510256521</c:v>
                </c:pt>
                <c:pt idx="4">
                  <c:v>2.1273811184532492</c:v>
                </c:pt>
              </c:numCache>
            </c:numRef>
          </c:val>
        </c:ser>
        <c:ser>
          <c:idx val="1"/>
          <c:order val="1"/>
          <c:tx>
            <c:strRef>
              <c:f>SourceData!$Z$45</c:f>
              <c:strCache>
                <c:ptCount val="1"/>
                <c:pt idx="0">
                  <c:v>Guinée Bissau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SourceData!$Z$46:$Z$50</c:f>
              <c:numCache>
                <c:formatCode>0</c:formatCode>
                <c:ptCount val="5"/>
                <c:pt idx="0">
                  <c:v>0.14899999999999999</c:v>
                </c:pt>
                <c:pt idx="1">
                  <c:v>0.38500000000000001</c:v>
                </c:pt>
                <c:pt idx="2">
                  <c:v>0.701970224446538</c:v>
                </c:pt>
                <c:pt idx="3">
                  <c:v>1.1237041748604579</c:v>
                </c:pt>
                <c:pt idx="4">
                  <c:v>1.7354760568896426</c:v>
                </c:pt>
              </c:numCache>
            </c:numRef>
          </c:val>
        </c:ser>
        <c:ser>
          <c:idx val="2"/>
          <c:order val="2"/>
          <c:tx>
            <c:strRef>
              <c:f>SourceData!$AA$45</c:f>
              <c:strCache>
                <c:ptCount val="1"/>
                <c:pt idx="0">
                  <c:v>Sierra Leone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SourceData!$AA$46:$AA$50</c:f>
              <c:numCache>
                <c:formatCode>0</c:formatCode>
                <c:ptCount val="5"/>
                <c:pt idx="0">
                  <c:v>0.26700000000000002</c:v>
                </c:pt>
                <c:pt idx="1">
                  <c:v>0.90700000000000003</c:v>
                </c:pt>
                <c:pt idx="2">
                  <c:v>1.3626461269279118</c:v>
                </c:pt>
                <c:pt idx="3">
                  <c:v>1.8900902445193901</c:v>
                </c:pt>
                <c:pt idx="4">
                  <c:v>2.6216939686912277</c:v>
                </c:pt>
              </c:numCache>
            </c:numRef>
          </c:val>
        </c:ser>
        <c:ser>
          <c:idx val="3"/>
          <c:order val="3"/>
          <c:tx>
            <c:strRef>
              <c:f>SourceData!$AB$45</c:f>
              <c:strCache>
                <c:ptCount val="1"/>
                <c:pt idx="0">
                  <c:v>Gambia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SourceData!$AB$46:$AB$50</c:f>
              <c:numCache>
                <c:formatCode>0</c:formatCode>
                <c:ptCount val="5"/>
                <c:pt idx="0">
                  <c:v>0.33700000000000002</c:v>
                </c:pt>
                <c:pt idx="1">
                  <c:v>0.84699999999999998</c:v>
                </c:pt>
                <c:pt idx="2">
                  <c:v>1.2188313040604082</c:v>
                </c:pt>
                <c:pt idx="3">
                  <c:v>1.7506079406297472</c:v>
                </c:pt>
                <c:pt idx="4">
                  <c:v>2.5143989587291027</c:v>
                </c:pt>
              </c:numCache>
            </c:numRef>
          </c:val>
        </c:ser>
        <c:ser>
          <c:idx val="4"/>
          <c:order val="4"/>
          <c:tx>
            <c:strRef>
              <c:f>SourceData!$AC$45</c:f>
              <c:strCache>
                <c:ptCount val="1"/>
                <c:pt idx="0">
                  <c:v>Guinea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SourceData!$AC$46:$AC$50</c:f>
              <c:numCache>
                <c:formatCode>0</c:formatCode>
                <c:ptCount val="5"/>
                <c:pt idx="0">
                  <c:v>0.76</c:v>
                </c:pt>
                <c:pt idx="1">
                  <c:v>1.9370000000000001</c:v>
                </c:pt>
                <c:pt idx="2">
                  <c:v>2.6259874272552892</c:v>
                </c:pt>
                <c:pt idx="3">
                  <c:v>3.399431687570734</c:v>
                </c:pt>
                <c:pt idx="4">
                  <c:v>4.4006820743001835</c:v>
                </c:pt>
              </c:numCache>
            </c:numRef>
          </c:val>
        </c:ser>
        <c:ser>
          <c:idx val="5"/>
          <c:order val="5"/>
          <c:tx>
            <c:strRef>
              <c:f>SourceData!$AD$45</c:f>
              <c:strCache>
                <c:ptCount val="1"/>
                <c:pt idx="0">
                  <c:v>Niger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SourceData!$AD$46:$AD$50</c:f>
              <c:numCache>
                <c:formatCode>0</c:formatCode>
                <c:ptCount val="5"/>
                <c:pt idx="0">
                  <c:v>0.91200000000000003</c:v>
                </c:pt>
                <c:pt idx="1">
                  <c:v>1.609</c:v>
                </c:pt>
                <c:pt idx="2">
                  <c:v>2.4965611450802547</c:v>
                </c:pt>
                <c:pt idx="3">
                  <c:v>3.7427616414953824</c:v>
                </c:pt>
                <c:pt idx="4">
                  <c:v>5.6110240811261596</c:v>
                </c:pt>
              </c:numCache>
            </c:numRef>
          </c:val>
        </c:ser>
        <c:ser>
          <c:idx val="6"/>
          <c:order val="6"/>
          <c:tx>
            <c:strRef>
              <c:f>SourceData!$AE$45</c:f>
              <c:strCache>
                <c:ptCount val="1"/>
                <c:pt idx="0">
                  <c:v>Burkina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SourceData!$AE$46:$AE$50</c:f>
              <c:numCache>
                <c:formatCode>0</c:formatCode>
                <c:ptCount val="5"/>
                <c:pt idx="0">
                  <c:v>0.93400000000000005</c:v>
                </c:pt>
                <c:pt idx="1">
                  <c:v>1.694</c:v>
                </c:pt>
                <c:pt idx="2">
                  <c:v>3.3566758879355203</c:v>
                </c:pt>
                <c:pt idx="3">
                  <c:v>6.5225176284215767</c:v>
                </c:pt>
                <c:pt idx="4">
                  <c:v>12.67421628819692</c:v>
                </c:pt>
              </c:numCache>
            </c:numRef>
          </c:val>
        </c:ser>
        <c:ser>
          <c:idx val="7"/>
          <c:order val="7"/>
          <c:tx>
            <c:strRef>
              <c:f>SourceData!$AF$45</c:f>
              <c:strCache>
                <c:ptCount val="1"/>
                <c:pt idx="0">
                  <c:v>Mali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SourceData!$AF$46:$AF$50</c:f>
              <c:numCache>
                <c:formatCode>0</c:formatCode>
                <c:ptCount val="5"/>
                <c:pt idx="0">
                  <c:v>1.232</c:v>
                </c:pt>
                <c:pt idx="1">
                  <c:v>3.3980000000000001</c:v>
                </c:pt>
                <c:pt idx="2">
                  <c:v>5.1928502600433522</c:v>
                </c:pt>
                <c:pt idx="3">
                  <c:v>7.6370225460816572</c:v>
                </c:pt>
                <c:pt idx="4">
                  <c:v>11.231618561801673</c:v>
                </c:pt>
              </c:numCache>
            </c:numRef>
          </c:val>
        </c:ser>
        <c:ser>
          <c:idx val="8"/>
          <c:order val="8"/>
          <c:tx>
            <c:strRef>
              <c:f>SourceData!$AG$45</c:f>
              <c:strCache>
                <c:ptCount val="1"/>
                <c:pt idx="0">
                  <c:v>Togo/Benin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SourceData!$AG$46:$AG$50</c:f>
              <c:numCache>
                <c:formatCode>0</c:formatCode>
                <c:ptCount val="5"/>
                <c:pt idx="0">
                  <c:v>2.7629999999999999</c:v>
                </c:pt>
                <c:pt idx="1">
                  <c:v>5.1849999999999996</c:v>
                </c:pt>
                <c:pt idx="2">
                  <c:v>9.9174339429110354</c:v>
                </c:pt>
                <c:pt idx="3">
                  <c:v>18.234255561464536</c:v>
                </c:pt>
                <c:pt idx="4">
                  <c:v>33.525615375382685</c:v>
                </c:pt>
              </c:numCache>
            </c:numRef>
          </c:val>
        </c:ser>
        <c:ser>
          <c:idx val="9"/>
          <c:order val="9"/>
          <c:tx>
            <c:strRef>
              <c:f>SourceData!$AH$45</c:f>
              <c:strCache>
                <c:ptCount val="1"/>
                <c:pt idx="0">
                  <c:v>Senegal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SourceData!$AH$46:$AH$50</c:f>
              <c:numCache>
                <c:formatCode>0</c:formatCode>
                <c:ptCount val="5"/>
                <c:pt idx="0">
                  <c:v>2.9910000000000001</c:v>
                </c:pt>
                <c:pt idx="1">
                  <c:v>5.306</c:v>
                </c:pt>
                <c:pt idx="2">
                  <c:v>8.9978996347244706</c:v>
                </c:pt>
                <c:pt idx="3">
                  <c:v>14.939613075592211</c:v>
                </c:pt>
                <c:pt idx="4">
                  <c:v>24.804904245327279</c:v>
                </c:pt>
              </c:numCache>
            </c:numRef>
          </c:val>
        </c:ser>
        <c:ser>
          <c:idx val="10"/>
          <c:order val="10"/>
          <c:tx>
            <c:strRef>
              <c:f>SourceData!$AI$45</c:f>
              <c:strCache>
                <c:ptCount val="1"/>
                <c:pt idx="0">
                  <c:v>Ivory Coast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SourceData!$AI$46:$AI$50</c:f>
              <c:numCache>
                <c:formatCode>0</c:formatCode>
                <c:ptCount val="5"/>
                <c:pt idx="0">
                  <c:v>6.39</c:v>
                </c:pt>
                <c:pt idx="1">
                  <c:v>10.244</c:v>
                </c:pt>
                <c:pt idx="2">
                  <c:v>16.798236128311054</c:v>
                </c:pt>
                <c:pt idx="3">
                  <c:v>26.861688673593157</c:v>
                </c:pt>
                <c:pt idx="4">
                  <c:v>42.953933549068985</c:v>
                </c:pt>
              </c:numCache>
            </c:numRef>
          </c:val>
        </c:ser>
        <c:ser>
          <c:idx val="11"/>
          <c:order val="11"/>
          <c:tx>
            <c:strRef>
              <c:f>SourceData!$AJ$45</c:f>
              <c:strCache>
                <c:ptCount val="1"/>
                <c:pt idx="0">
                  <c:v>Ghana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SourceData!$AJ$46:$AJ$50</c:f>
              <c:numCache>
                <c:formatCode>0</c:formatCode>
                <c:ptCount val="5"/>
                <c:pt idx="0">
                  <c:v>10.420999999999999</c:v>
                </c:pt>
                <c:pt idx="1">
                  <c:v>16.856999999999999</c:v>
                </c:pt>
                <c:pt idx="2">
                  <c:v>31.014058998366515</c:v>
                </c:pt>
                <c:pt idx="3">
                  <c:v>57.225278454944544</c:v>
                </c:pt>
                <c:pt idx="4">
                  <c:v>105.58864592404423</c:v>
                </c:pt>
              </c:numCache>
            </c:numRef>
          </c:val>
        </c:ser>
        <c:ser>
          <c:idx val="12"/>
          <c:order val="12"/>
          <c:tx>
            <c:strRef>
              <c:f>SourceData!$AK$45</c:f>
              <c:strCache>
                <c:ptCount val="1"/>
                <c:pt idx="0">
                  <c:v>Nigeria</c:v>
                </c:pt>
              </c:strCache>
            </c:strRef>
          </c:tx>
          <c:invertIfNegative val="0"/>
          <c:cat>
            <c:numRef>
              <c:f>SourceData!$X$46:$X$50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SourceData!$AK$46:$AK$50</c:f>
              <c:numCache>
                <c:formatCode>0</c:formatCode>
                <c:ptCount val="5"/>
                <c:pt idx="0">
                  <c:v>58.069000000000003</c:v>
                </c:pt>
                <c:pt idx="1">
                  <c:v>91.873000000000005</c:v>
                </c:pt>
                <c:pt idx="2">
                  <c:v>152.23237173580938</c:v>
                </c:pt>
                <c:pt idx="3">
                  <c:v>227.99701287633002</c:v>
                </c:pt>
                <c:pt idx="4">
                  <c:v>341.46901403298324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262080"/>
        <c:axId val="256489344"/>
      </c:barChart>
      <c:catAx>
        <c:axId val="2552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489344"/>
        <c:crosses val="autoZero"/>
        <c:auto val="1"/>
        <c:lblAlgn val="ctr"/>
        <c:lblOffset val="100"/>
        <c:noMultiLvlLbl val="0"/>
      </c:catAx>
      <c:valAx>
        <c:axId val="25648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Demand (TWh)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526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SourceData!$Y$52</c:f>
              <c:strCache>
                <c:ptCount val="1"/>
                <c:pt idx="0">
                  <c:v>Liberia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SourceData!$Y$53:$Y$57</c:f>
              <c:numCache>
                <c:formatCode>0</c:formatCode>
                <c:ptCount val="5"/>
                <c:pt idx="0">
                  <c:v>1</c:v>
                </c:pt>
                <c:pt idx="1">
                  <c:v>3.3809523809523809</c:v>
                </c:pt>
                <c:pt idx="2">
                  <c:v>6.1980639136339084</c:v>
                </c:pt>
                <c:pt idx="3">
                  <c:v>11.206139533577639</c:v>
                </c:pt>
                <c:pt idx="4">
                  <c:v>20.260772556697614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SourceData!$Z$52</c:f>
              <c:strCache>
                <c:ptCount val="1"/>
                <c:pt idx="0">
                  <c:v>Guinée Bissau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SourceData!$Z$53:$Z$57</c:f>
              <c:numCache>
                <c:formatCode>0</c:formatCode>
                <c:ptCount val="5"/>
                <c:pt idx="0">
                  <c:v>1</c:v>
                </c:pt>
                <c:pt idx="1">
                  <c:v>2.5838926174496648</c:v>
                </c:pt>
                <c:pt idx="2">
                  <c:v>4.711209560043879</c:v>
                </c:pt>
                <c:pt idx="3">
                  <c:v>7.5416387574527377</c:v>
                </c:pt>
                <c:pt idx="4">
                  <c:v>11.647490314695588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SourceData!$AA$52</c:f>
              <c:strCache>
                <c:ptCount val="1"/>
                <c:pt idx="0">
                  <c:v>Sierra Leone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SourceData!$AA$53:$AA$57</c:f>
              <c:numCache>
                <c:formatCode>0</c:formatCode>
                <c:ptCount val="5"/>
                <c:pt idx="0">
                  <c:v>1</c:v>
                </c:pt>
                <c:pt idx="1">
                  <c:v>3.3970037453183521</c:v>
                </c:pt>
                <c:pt idx="2">
                  <c:v>5.1035435465464856</c:v>
                </c:pt>
                <c:pt idx="3">
                  <c:v>7.0789896798479024</c:v>
                </c:pt>
                <c:pt idx="4">
                  <c:v>9.8190785344240741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SourceData!$AB$52</c:f>
              <c:strCache>
                <c:ptCount val="1"/>
                <c:pt idx="0">
                  <c:v>Gambia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SourceData!$AB$53:$AB$57</c:f>
              <c:numCache>
                <c:formatCode>0</c:formatCode>
                <c:ptCount val="5"/>
                <c:pt idx="0">
                  <c:v>1</c:v>
                </c:pt>
                <c:pt idx="1">
                  <c:v>2.5133531157270026</c:v>
                </c:pt>
                <c:pt idx="2">
                  <c:v>3.6167101010694602</c:v>
                </c:pt>
                <c:pt idx="3">
                  <c:v>5.1946823164087448</c:v>
                </c:pt>
                <c:pt idx="4">
                  <c:v>7.4611245066145475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SourceData!$AC$52</c:f>
              <c:strCache>
                <c:ptCount val="1"/>
                <c:pt idx="0">
                  <c:v>Guinea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SourceData!$AC$53:$AC$57</c:f>
              <c:numCache>
                <c:formatCode>0</c:formatCode>
                <c:ptCount val="5"/>
                <c:pt idx="0">
                  <c:v>1</c:v>
                </c:pt>
                <c:pt idx="1">
                  <c:v>2.5486842105263157</c:v>
                </c:pt>
                <c:pt idx="2">
                  <c:v>3.4552466148095911</c:v>
                </c:pt>
                <c:pt idx="3">
                  <c:v>4.4729364310141237</c:v>
                </c:pt>
                <c:pt idx="4">
                  <c:v>5.7903711503949786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SourceData!$AD$52</c:f>
              <c:strCache>
                <c:ptCount val="1"/>
                <c:pt idx="0">
                  <c:v>Niger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SourceData!$AD$53:$AD$57</c:f>
              <c:numCache>
                <c:formatCode>0</c:formatCode>
                <c:ptCount val="5"/>
                <c:pt idx="0">
                  <c:v>1</c:v>
                </c:pt>
                <c:pt idx="1">
                  <c:v>1.7642543859649122</c:v>
                </c:pt>
                <c:pt idx="2">
                  <c:v>2.7374573959213317</c:v>
                </c:pt>
                <c:pt idx="3">
                  <c:v>4.1039053086572173</c:v>
                </c:pt>
                <c:pt idx="4">
                  <c:v>6.1524386854453503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SourceData!$AE$52</c:f>
              <c:strCache>
                <c:ptCount val="1"/>
                <c:pt idx="0">
                  <c:v>Burkina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SourceData!$AE$53:$AE$57</c:f>
              <c:numCache>
                <c:formatCode>0</c:formatCode>
                <c:ptCount val="5"/>
                <c:pt idx="0">
                  <c:v>1</c:v>
                </c:pt>
                <c:pt idx="1">
                  <c:v>1.8137044967880085</c:v>
                </c:pt>
                <c:pt idx="2">
                  <c:v>3.5938714003592294</c:v>
                </c:pt>
                <c:pt idx="3">
                  <c:v>6.9834235850338073</c:v>
                </c:pt>
                <c:pt idx="4">
                  <c:v>13.569824719696916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SourceData!$AF$52</c:f>
              <c:strCache>
                <c:ptCount val="1"/>
                <c:pt idx="0">
                  <c:v>Mali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SourceData!$AF$53:$AF$57</c:f>
              <c:numCache>
                <c:formatCode>0</c:formatCode>
                <c:ptCount val="5"/>
                <c:pt idx="0">
                  <c:v>1</c:v>
                </c:pt>
                <c:pt idx="1">
                  <c:v>2.7581168831168834</c:v>
                </c:pt>
                <c:pt idx="2">
                  <c:v>4.2149758604247989</c:v>
                </c:pt>
                <c:pt idx="3">
                  <c:v>6.1988819367545922</c:v>
                </c:pt>
                <c:pt idx="4">
                  <c:v>9.1165735079559038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SourceData!$AG$52</c:f>
              <c:strCache>
                <c:ptCount val="1"/>
                <c:pt idx="0">
                  <c:v>Togo/Benin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SourceData!$AG$53:$AG$57</c:f>
              <c:numCache>
                <c:formatCode>0</c:formatCode>
                <c:ptCount val="5"/>
                <c:pt idx="0">
                  <c:v>1</c:v>
                </c:pt>
                <c:pt idx="1">
                  <c:v>1.8765834238146941</c:v>
                </c:pt>
                <c:pt idx="2">
                  <c:v>3.5893716767683808</c:v>
                </c:pt>
                <c:pt idx="3">
                  <c:v>6.5994410283983127</c:v>
                </c:pt>
                <c:pt idx="4">
                  <c:v>12.133773208607559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SourceData!$AH$52</c:f>
              <c:strCache>
                <c:ptCount val="1"/>
                <c:pt idx="0">
                  <c:v>Senegal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SourceData!$AH$53:$AH$57</c:f>
              <c:numCache>
                <c:formatCode>0</c:formatCode>
                <c:ptCount val="5"/>
                <c:pt idx="0">
                  <c:v>1</c:v>
                </c:pt>
                <c:pt idx="1">
                  <c:v>1.7739886325643597</c:v>
                </c:pt>
                <c:pt idx="2">
                  <c:v>3.0083248527998898</c:v>
                </c:pt>
                <c:pt idx="3">
                  <c:v>4.994855591973324</c:v>
                </c:pt>
                <c:pt idx="4">
                  <c:v>8.2931809579830418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SourceData!$AI$52</c:f>
              <c:strCache>
                <c:ptCount val="1"/>
                <c:pt idx="0">
                  <c:v>Ivory Coast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SourceData!$AI$53:$AI$57</c:f>
              <c:numCache>
                <c:formatCode>0</c:formatCode>
                <c:ptCount val="5"/>
                <c:pt idx="0">
                  <c:v>1</c:v>
                </c:pt>
                <c:pt idx="1">
                  <c:v>1.6031298904538342</c:v>
                </c:pt>
                <c:pt idx="2">
                  <c:v>2.6288319449626063</c:v>
                </c:pt>
                <c:pt idx="3">
                  <c:v>4.2037071476671608</c:v>
                </c:pt>
                <c:pt idx="4">
                  <c:v>6.7220553284927993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SourceData!$AJ$52</c:f>
              <c:strCache>
                <c:ptCount val="1"/>
                <c:pt idx="0">
                  <c:v>Ghana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SourceData!$AJ$53:$AJ$57</c:f>
              <c:numCache>
                <c:formatCode>0</c:formatCode>
                <c:ptCount val="5"/>
                <c:pt idx="0">
                  <c:v>1</c:v>
                </c:pt>
                <c:pt idx="1">
                  <c:v>1.6175990787832262</c:v>
                </c:pt>
                <c:pt idx="2">
                  <c:v>2.9761116014169962</c:v>
                </c:pt>
                <c:pt idx="3">
                  <c:v>5.491342333264039</c:v>
                </c:pt>
                <c:pt idx="4">
                  <c:v>10.132294973999063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SourceData!$AK$52</c:f>
              <c:strCache>
                <c:ptCount val="1"/>
                <c:pt idx="0">
                  <c:v>Nigeria</c:v>
                </c:pt>
              </c:strCache>
            </c:strRef>
          </c:tx>
          <c:marker>
            <c:symbol val="none"/>
          </c:marker>
          <c:xVal>
            <c:numRef>
              <c:f>SourceData!$X$53:$X$57</c:f>
              <c:numCache>
                <c:formatCode>General</c:formatCode>
                <c:ptCount val="5"/>
                <c:pt idx="0">
                  <c:v>2012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xVal>
          <c:yVal>
            <c:numRef>
              <c:f>SourceData!$AK$53:$AK$57</c:f>
              <c:numCache>
                <c:formatCode>0</c:formatCode>
                <c:ptCount val="5"/>
                <c:pt idx="0">
                  <c:v>1</c:v>
                </c:pt>
                <c:pt idx="1">
                  <c:v>1.5821350462380961</c:v>
                </c:pt>
                <c:pt idx="2">
                  <c:v>2.6215772914258793</c:v>
                </c:pt>
                <c:pt idx="3">
                  <c:v>3.9263120232194462</c:v>
                </c:pt>
                <c:pt idx="4">
                  <c:v>5.8804011440352548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780160"/>
        <c:axId val="258790528"/>
      </c:scatterChart>
      <c:valAx>
        <c:axId val="258780160"/>
        <c:scaling>
          <c:orientation val="minMax"/>
          <c:max val="2050"/>
        </c:scaling>
        <c:delete val="0"/>
        <c:axPos val="b"/>
        <c:numFmt formatCode="General" sourceLinked="1"/>
        <c:majorTickMark val="out"/>
        <c:minorTickMark val="none"/>
        <c:tickLblPos val="nextTo"/>
        <c:crossAx val="258790528"/>
        <c:crosses val="autoZero"/>
        <c:crossBetween val="midCat"/>
      </c:valAx>
      <c:valAx>
        <c:axId val="25879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Demand indexed to 2012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8780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SourceData!$BT$39</c:f>
              <c:strCache>
                <c:ptCount val="1"/>
                <c:pt idx="0">
                  <c:v>Senegal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SourceData!$BT$42:$BT$60</c:f>
              <c:numCache>
                <c:formatCode>0</c:formatCode>
                <c:ptCount val="19"/>
                <c:pt idx="0">
                  <c:v>2.9910000000000001</c:v>
                </c:pt>
                <c:pt idx="1">
                  <c:v>3.1469999999999998</c:v>
                </c:pt>
                <c:pt idx="2">
                  <c:v>3.319</c:v>
                </c:pt>
                <c:pt idx="3">
                  <c:v>3.7440000000000002</c:v>
                </c:pt>
                <c:pt idx="4">
                  <c:v>4.3109999999999999</c:v>
                </c:pt>
                <c:pt idx="5">
                  <c:v>4.5359999999999996</c:v>
                </c:pt>
                <c:pt idx="6">
                  <c:v>4.774</c:v>
                </c:pt>
                <c:pt idx="7">
                  <c:v>5.0259999999999998</c:v>
                </c:pt>
                <c:pt idx="8">
                  <c:v>5.306</c:v>
                </c:pt>
                <c:pt idx="9">
                  <c:v>5.6239999999999997</c:v>
                </c:pt>
                <c:pt idx="10">
                  <c:v>5.9329999999999998</c:v>
                </c:pt>
                <c:pt idx="11">
                  <c:v>6.2610000000000001</c:v>
                </c:pt>
                <c:pt idx="12">
                  <c:v>6.6109999999999998</c:v>
                </c:pt>
                <c:pt idx="13">
                  <c:v>6.9829999999999997</c:v>
                </c:pt>
                <c:pt idx="14">
                  <c:v>7.3639667765016847</c:v>
                </c:pt>
                <c:pt idx="15">
                  <c:v>7.7610297335743565</c:v>
                </c:pt>
                <c:pt idx="16">
                  <c:v>8.1745614722078521</c:v>
                </c:pt>
                <c:pt idx="17">
                  <c:v>8.6049234686273639</c:v>
                </c:pt>
                <c:pt idx="18">
                  <c:v>8.9978996347244706</c:v>
                </c:pt>
              </c:numCache>
            </c:numRef>
          </c:val>
        </c:ser>
        <c:ser>
          <c:idx val="1"/>
          <c:order val="1"/>
          <c:tx>
            <c:strRef>
              <c:f>SourceData!$BU$39</c:f>
              <c:strCache>
                <c:ptCount val="1"/>
                <c:pt idx="0">
                  <c:v>Gambia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SourceData!$BU$42:$BU$60</c:f>
              <c:numCache>
                <c:formatCode>0</c:formatCode>
                <c:ptCount val="19"/>
                <c:pt idx="0">
                  <c:v>0.33700000000000002</c:v>
                </c:pt>
                <c:pt idx="1">
                  <c:v>0.41399999999999998</c:v>
                </c:pt>
                <c:pt idx="2">
                  <c:v>0.496</c:v>
                </c:pt>
                <c:pt idx="3">
                  <c:v>0.58599999999999997</c:v>
                </c:pt>
                <c:pt idx="4">
                  <c:v>0.747</c:v>
                </c:pt>
                <c:pt idx="5">
                  <c:v>0.77100000000000002</c:v>
                </c:pt>
                <c:pt idx="6">
                  <c:v>0.79600000000000004</c:v>
                </c:pt>
                <c:pt idx="7">
                  <c:v>0.82099999999999995</c:v>
                </c:pt>
                <c:pt idx="8">
                  <c:v>0.84699999999999998</c:v>
                </c:pt>
                <c:pt idx="9">
                  <c:v>0.879</c:v>
                </c:pt>
                <c:pt idx="10">
                  <c:v>0.91200000000000003</c:v>
                </c:pt>
                <c:pt idx="11">
                  <c:v>0.94499999999999995</c:v>
                </c:pt>
                <c:pt idx="12">
                  <c:v>0.98</c:v>
                </c:pt>
                <c:pt idx="13">
                  <c:v>1.0169999999999999</c:v>
                </c:pt>
                <c:pt idx="14">
                  <c:v>1.0547235967412527</c:v>
                </c:pt>
                <c:pt idx="15">
                  <c:v>1.093787809200367</c:v>
                </c:pt>
                <c:pt idx="16">
                  <c:v>1.1342380191677348</c:v>
                </c:pt>
                <c:pt idx="17">
                  <c:v>1.1761210605037484</c:v>
                </c:pt>
                <c:pt idx="18">
                  <c:v>1.2188313040604082</c:v>
                </c:pt>
              </c:numCache>
            </c:numRef>
          </c:val>
        </c:ser>
        <c:ser>
          <c:idx val="2"/>
          <c:order val="2"/>
          <c:tx>
            <c:strRef>
              <c:f>SourceData!$BV$39</c:f>
              <c:strCache>
                <c:ptCount val="1"/>
                <c:pt idx="0">
                  <c:v>Guinée Bissau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SourceData!$BV$42:$BV$60</c:f>
              <c:numCache>
                <c:formatCode>0</c:formatCode>
                <c:ptCount val="19"/>
                <c:pt idx="0">
                  <c:v>0.14899999999999999</c:v>
                </c:pt>
                <c:pt idx="1">
                  <c:v>0.157</c:v>
                </c:pt>
                <c:pt idx="2">
                  <c:v>0.16700000000000001</c:v>
                </c:pt>
                <c:pt idx="3">
                  <c:v>0.17599999999999999</c:v>
                </c:pt>
                <c:pt idx="4">
                  <c:v>0.53800000000000003</c:v>
                </c:pt>
                <c:pt idx="5">
                  <c:v>0.58399999999999996</c:v>
                </c:pt>
                <c:pt idx="6">
                  <c:v>0.63200000000000001</c:v>
                </c:pt>
                <c:pt idx="7">
                  <c:v>0.68300000000000005</c:v>
                </c:pt>
                <c:pt idx="8">
                  <c:v>1.0860000000000001</c:v>
                </c:pt>
                <c:pt idx="9">
                  <c:v>1.1419999999999999</c:v>
                </c:pt>
                <c:pt idx="10">
                  <c:v>1.1659999999999999</c:v>
                </c:pt>
                <c:pt idx="11">
                  <c:v>1.1919999999999999</c:v>
                </c:pt>
                <c:pt idx="12">
                  <c:v>1.218</c:v>
                </c:pt>
                <c:pt idx="13">
                  <c:v>1.246</c:v>
                </c:pt>
                <c:pt idx="14">
                  <c:v>1.2751162442672297</c:v>
                </c:pt>
                <c:pt idx="15">
                  <c:v>1.305572692399195</c:v>
                </c:pt>
                <c:pt idx="16">
                  <c:v>1.3374180996526406</c:v>
                </c:pt>
                <c:pt idx="17">
                  <c:v>1.3707022632934291</c:v>
                </c:pt>
                <c:pt idx="18">
                  <c:v>1.4029702244465379</c:v>
                </c:pt>
              </c:numCache>
            </c:numRef>
          </c:val>
        </c:ser>
        <c:ser>
          <c:idx val="3"/>
          <c:order val="3"/>
          <c:tx>
            <c:strRef>
              <c:f>SourceData!$BW$39</c:f>
              <c:strCache>
                <c:ptCount val="1"/>
                <c:pt idx="0">
                  <c:v>Guinea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SourceData!$BW$42:$BW$60</c:f>
              <c:numCache>
                <c:formatCode>0</c:formatCode>
                <c:ptCount val="19"/>
                <c:pt idx="0">
                  <c:v>0.76</c:v>
                </c:pt>
                <c:pt idx="1">
                  <c:v>0.93400000000000005</c:v>
                </c:pt>
                <c:pt idx="2">
                  <c:v>1.1020000000000001</c:v>
                </c:pt>
                <c:pt idx="3">
                  <c:v>1.5629999999999999</c:v>
                </c:pt>
                <c:pt idx="4">
                  <c:v>4.3609999999999998</c:v>
                </c:pt>
                <c:pt idx="5">
                  <c:v>4.4480000000000004</c:v>
                </c:pt>
                <c:pt idx="6">
                  <c:v>4.5419999999999998</c:v>
                </c:pt>
                <c:pt idx="7">
                  <c:v>6.7389999999999999</c:v>
                </c:pt>
                <c:pt idx="8">
                  <c:v>6.8730000000000002</c:v>
                </c:pt>
                <c:pt idx="9">
                  <c:v>7.0430000000000001</c:v>
                </c:pt>
                <c:pt idx="10">
                  <c:v>7.1870000000000003</c:v>
                </c:pt>
                <c:pt idx="11">
                  <c:v>7.3319999999999999</c:v>
                </c:pt>
                <c:pt idx="12">
                  <c:v>7.4770000000000003</c:v>
                </c:pt>
                <c:pt idx="13">
                  <c:v>7.6260000000000003</c:v>
                </c:pt>
                <c:pt idx="14">
                  <c:v>7.7694989765632823</c:v>
                </c:pt>
                <c:pt idx="15">
                  <c:v>7.9154914348685015</c:v>
                </c:pt>
                <c:pt idx="16">
                  <c:v>8.061232497107266</c:v>
                </c:pt>
                <c:pt idx="17">
                  <c:v>8.2062314025736676</c:v>
                </c:pt>
                <c:pt idx="18">
                  <c:v>8.3234636177314734</c:v>
                </c:pt>
              </c:numCache>
            </c:numRef>
          </c:val>
        </c:ser>
        <c:ser>
          <c:idx val="4"/>
          <c:order val="4"/>
          <c:tx>
            <c:strRef>
              <c:f>SourceData!$BX$39</c:f>
              <c:strCache>
                <c:ptCount val="1"/>
                <c:pt idx="0">
                  <c:v>Sierra Leone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SourceData!$BX$42:$BX$60</c:f>
              <c:numCache>
                <c:formatCode>0</c:formatCode>
                <c:ptCount val="19"/>
                <c:pt idx="0">
                  <c:v>0.61699999999999999</c:v>
                </c:pt>
                <c:pt idx="1">
                  <c:v>0.99399999999999999</c:v>
                </c:pt>
                <c:pt idx="2">
                  <c:v>1.397</c:v>
                </c:pt>
                <c:pt idx="3">
                  <c:v>1.498</c:v>
                </c:pt>
                <c:pt idx="4">
                  <c:v>2.327</c:v>
                </c:pt>
                <c:pt idx="5">
                  <c:v>3.1019999999999999</c:v>
                </c:pt>
                <c:pt idx="6">
                  <c:v>3.8410000000000002</c:v>
                </c:pt>
                <c:pt idx="7">
                  <c:v>5.0030000000000001</c:v>
                </c:pt>
                <c:pt idx="8">
                  <c:v>6.1630000000000003</c:v>
                </c:pt>
                <c:pt idx="9">
                  <c:v>6.2130000000000001</c:v>
                </c:pt>
                <c:pt idx="10">
                  <c:v>6.2629999999999999</c:v>
                </c:pt>
                <c:pt idx="11">
                  <c:v>6.3129999999999997</c:v>
                </c:pt>
                <c:pt idx="12">
                  <c:v>6.3630000000000004</c:v>
                </c:pt>
                <c:pt idx="13">
                  <c:v>6.4130000000000003</c:v>
                </c:pt>
                <c:pt idx="14">
                  <c:v>6.4623988800042076</c:v>
                </c:pt>
                <c:pt idx="15">
                  <c:v>6.5110613206645862</c:v>
                </c:pt>
                <c:pt idx="16">
                  <c:v>6.5587263170705974</c:v>
                </c:pt>
                <c:pt idx="17">
                  <c:v>6.6051287786096609</c:v>
                </c:pt>
                <c:pt idx="18">
                  <c:v>6.6186461269279118</c:v>
                </c:pt>
              </c:numCache>
            </c:numRef>
          </c:val>
        </c:ser>
        <c:ser>
          <c:idx val="5"/>
          <c:order val="5"/>
          <c:tx>
            <c:strRef>
              <c:f>SourceData!$BY$39</c:f>
              <c:strCache>
                <c:ptCount val="1"/>
                <c:pt idx="0">
                  <c:v>Liberia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SourceData!$BY$42:$BY$60</c:f>
              <c:numCache>
                <c:formatCode>0</c:formatCode>
                <c:ptCount val="19"/>
                <c:pt idx="0">
                  <c:v>0.13800000000000001</c:v>
                </c:pt>
                <c:pt idx="1">
                  <c:v>0.29399999999999998</c:v>
                </c:pt>
                <c:pt idx="2">
                  <c:v>0.88300000000000001</c:v>
                </c:pt>
                <c:pt idx="3">
                  <c:v>1.446</c:v>
                </c:pt>
                <c:pt idx="4">
                  <c:v>2.1190000000000002</c:v>
                </c:pt>
                <c:pt idx="5">
                  <c:v>2.1360000000000001</c:v>
                </c:pt>
                <c:pt idx="6">
                  <c:v>2.1539999999999999</c:v>
                </c:pt>
                <c:pt idx="7">
                  <c:v>2.1739999999999999</c:v>
                </c:pt>
                <c:pt idx="8">
                  <c:v>2.1949999999999998</c:v>
                </c:pt>
                <c:pt idx="9">
                  <c:v>2.218</c:v>
                </c:pt>
                <c:pt idx="10">
                  <c:v>2.242</c:v>
                </c:pt>
                <c:pt idx="11">
                  <c:v>2.2679999999999998</c:v>
                </c:pt>
                <c:pt idx="12">
                  <c:v>2.2949999999999999</c:v>
                </c:pt>
                <c:pt idx="13">
                  <c:v>2.3239999999999998</c:v>
                </c:pt>
                <c:pt idx="14">
                  <c:v>2.354439717233217</c:v>
                </c:pt>
                <c:pt idx="15">
                  <c:v>2.3865519709737284</c:v>
                </c:pt>
                <c:pt idx="16">
                  <c:v>2.4204117534904492</c:v>
                </c:pt>
                <c:pt idx="17">
                  <c:v>2.4560963085230436</c:v>
                </c:pt>
                <c:pt idx="18">
                  <c:v>2.4907967109315603</c:v>
                </c:pt>
              </c:numCache>
            </c:numRef>
          </c:val>
        </c:ser>
        <c:ser>
          <c:idx val="6"/>
          <c:order val="6"/>
          <c:tx>
            <c:strRef>
              <c:f>SourceData!$BZ$39</c:f>
              <c:strCache>
                <c:ptCount val="1"/>
                <c:pt idx="0">
                  <c:v>Mali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SourceData!$BZ$42:$BZ$60</c:f>
              <c:numCache>
                <c:formatCode>0</c:formatCode>
                <c:ptCount val="19"/>
                <c:pt idx="0">
                  <c:v>1.232</c:v>
                </c:pt>
                <c:pt idx="1">
                  <c:v>1.3819999999999999</c:v>
                </c:pt>
                <c:pt idx="2">
                  <c:v>2.1110000000000002</c:v>
                </c:pt>
                <c:pt idx="3">
                  <c:v>2.226</c:v>
                </c:pt>
                <c:pt idx="4">
                  <c:v>2.8959999999999999</c:v>
                </c:pt>
                <c:pt idx="5">
                  <c:v>2.9969999999999999</c:v>
                </c:pt>
                <c:pt idx="6">
                  <c:v>3.153</c:v>
                </c:pt>
                <c:pt idx="7">
                  <c:v>3.2480000000000002</c:v>
                </c:pt>
                <c:pt idx="8">
                  <c:v>3.3980000000000001</c:v>
                </c:pt>
                <c:pt idx="9">
                  <c:v>3.5670000000000002</c:v>
                </c:pt>
                <c:pt idx="10">
                  <c:v>3.74</c:v>
                </c:pt>
                <c:pt idx="11">
                  <c:v>3.9159999999999999</c:v>
                </c:pt>
                <c:pt idx="12">
                  <c:v>4.0970000000000004</c:v>
                </c:pt>
                <c:pt idx="13">
                  <c:v>4.282</c:v>
                </c:pt>
                <c:pt idx="14">
                  <c:v>4.4699883861688186</c:v>
                </c:pt>
                <c:pt idx="15">
                  <c:v>4.6611162618611672</c:v>
                </c:pt>
                <c:pt idx="16">
                  <c:v>4.855084164005202</c:v>
                </c:pt>
                <c:pt idx="17">
                  <c:v>5.0515697356988669</c:v>
                </c:pt>
                <c:pt idx="18">
                  <c:v>5.1928502600433522</c:v>
                </c:pt>
              </c:numCache>
            </c:numRef>
          </c:val>
        </c:ser>
        <c:ser>
          <c:idx val="7"/>
          <c:order val="7"/>
          <c:tx>
            <c:strRef>
              <c:f>SourceData!$CA$39</c:f>
              <c:strCache>
                <c:ptCount val="1"/>
                <c:pt idx="0">
                  <c:v>Ivory Coast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SourceData!$CA$42:$CA$60</c:f>
              <c:numCache>
                <c:formatCode>0</c:formatCode>
                <c:ptCount val="19"/>
                <c:pt idx="0">
                  <c:v>6.39</c:v>
                </c:pt>
                <c:pt idx="1">
                  <c:v>6.7990000000000004</c:v>
                </c:pt>
                <c:pt idx="2">
                  <c:v>7.2450000000000001</c:v>
                </c:pt>
                <c:pt idx="3">
                  <c:v>7.7309999999999999</c:v>
                </c:pt>
                <c:pt idx="4">
                  <c:v>8.1969999999999992</c:v>
                </c:pt>
                <c:pt idx="5">
                  <c:v>8.68</c:v>
                </c:pt>
                <c:pt idx="6">
                  <c:v>9.1820000000000004</c:v>
                </c:pt>
                <c:pt idx="7">
                  <c:v>9.7029999999999994</c:v>
                </c:pt>
                <c:pt idx="8">
                  <c:v>10.244</c:v>
                </c:pt>
                <c:pt idx="9">
                  <c:v>10.807</c:v>
                </c:pt>
                <c:pt idx="10">
                  <c:v>11.391</c:v>
                </c:pt>
                <c:pt idx="11">
                  <c:v>11.997999999999999</c:v>
                </c:pt>
                <c:pt idx="12">
                  <c:v>12.628</c:v>
                </c:pt>
                <c:pt idx="13">
                  <c:v>13.284000000000001</c:v>
                </c:pt>
                <c:pt idx="14">
                  <c:v>13.962584564878119</c:v>
                </c:pt>
                <c:pt idx="15">
                  <c:v>14.665288347550248</c:v>
                </c:pt>
                <c:pt idx="16">
                  <c:v>15.392282035289615</c:v>
                </c:pt>
                <c:pt idx="17">
                  <c:v>16.143690001937653</c:v>
                </c:pt>
                <c:pt idx="18">
                  <c:v>16.798236128311054</c:v>
                </c:pt>
              </c:numCache>
            </c:numRef>
          </c:val>
        </c:ser>
        <c:ser>
          <c:idx val="8"/>
          <c:order val="8"/>
          <c:tx>
            <c:strRef>
              <c:f>SourceData!$CB$39</c:f>
              <c:strCache>
                <c:ptCount val="1"/>
                <c:pt idx="0">
                  <c:v>Ghana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SourceData!$CB$42:$CB$60</c:f>
              <c:numCache>
                <c:formatCode>0</c:formatCode>
                <c:ptCount val="19"/>
                <c:pt idx="0">
                  <c:v>11.734999999999999</c:v>
                </c:pt>
                <c:pt idx="1">
                  <c:v>13.064</c:v>
                </c:pt>
                <c:pt idx="2">
                  <c:v>13.734999999999999</c:v>
                </c:pt>
                <c:pt idx="3">
                  <c:v>14.455</c:v>
                </c:pt>
                <c:pt idx="4">
                  <c:v>15.223000000000001</c:v>
                </c:pt>
                <c:pt idx="5">
                  <c:v>16.041</c:v>
                </c:pt>
                <c:pt idx="6">
                  <c:v>16.911999999999999</c:v>
                </c:pt>
                <c:pt idx="7">
                  <c:v>17.84</c:v>
                </c:pt>
                <c:pt idx="8">
                  <c:v>18.827999999999999</c:v>
                </c:pt>
                <c:pt idx="9">
                  <c:v>19.879000000000001</c:v>
                </c:pt>
                <c:pt idx="10">
                  <c:v>20.998000000000001</c:v>
                </c:pt>
                <c:pt idx="11">
                  <c:v>22.189</c:v>
                </c:pt>
                <c:pt idx="12">
                  <c:v>23.456</c:v>
                </c:pt>
                <c:pt idx="13">
                  <c:v>24.803000000000001</c:v>
                </c:pt>
                <c:pt idx="14">
                  <c:v>26.23732088589739</c:v>
                </c:pt>
                <c:pt idx="15">
                  <c:v>27.763869366979144</c:v>
                </c:pt>
                <c:pt idx="16">
                  <c:v>29.388706302124721</c:v>
                </c:pt>
                <c:pt idx="17">
                  <c:v>31.118299089882573</c:v>
                </c:pt>
                <c:pt idx="18">
                  <c:v>32.985058998366512</c:v>
                </c:pt>
              </c:numCache>
            </c:numRef>
          </c:val>
        </c:ser>
        <c:ser>
          <c:idx val="9"/>
          <c:order val="9"/>
          <c:tx>
            <c:strRef>
              <c:f>SourceData!$CC$39</c:f>
              <c:strCache>
                <c:ptCount val="1"/>
                <c:pt idx="0">
                  <c:v>Togo/Benin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SourceData!$CC$42:$CC$60</c:f>
              <c:numCache>
                <c:formatCode>0</c:formatCode>
                <c:ptCount val="19"/>
                <c:pt idx="0">
                  <c:v>2.7629999999999999</c:v>
                </c:pt>
                <c:pt idx="1">
                  <c:v>3.004</c:v>
                </c:pt>
                <c:pt idx="2">
                  <c:v>3.2679999999999998</c:v>
                </c:pt>
                <c:pt idx="3">
                  <c:v>3.5470000000000002</c:v>
                </c:pt>
                <c:pt idx="4">
                  <c:v>3.8410000000000002</c:v>
                </c:pt>
                <c:pt idx="5">
                  <c:v>4.1509999999999998</c:v>
                </c:pt>
                <c:pt idx="6">
                  <c:v>4.4779999999999998</c:v>
                </c:pt>
                <c:pt idx="7">
                  <c:v>4.8220000000000001</c:v>
                </c:pt>
                <c:pt idx="8">
                  <c:v>5.1849999999999996</c:v>
                </c:pt>
                <c:pt idx="9">
                  <c:v>5.5670000000000002</c:v>
                </c:pt>
                <c:pt idx="10">
                  <c:v>5.9710000000000001</c:v>
                </c:pt>
                <c:pt idx="11">
                  <c:v>6.3949999999999996</c:v>
                </c:pt>
                <c:pt idx="12">
                  <c:v>6.8419999999999996</c:v>
                </c:pt>
                <c:pt idx="13">
                  <c:v>7.3140000000000001</c:v>
                </c:pt>
                <c:pt idx="14">
                  <c:v>7.8085216446306989</c:v>
                </c:pt>
                <c:pt idx="15">
                  <c:v>8.3270709725466325</c:v>
                </c:pt>
                <c:pt idx="16">
                  <c:v>8.8700229769011631</c:v>
                </c:pt>
                <c:pt idx="17">
                  <c:v>9.4376897975516396</c:v>
                </c:pt>
                <c:pt idx="18">
                  <c:v>9.9174339429110354</c:v>
                </c:pt>
              </c:numCache>
            </c:numRef>
          </c:val>
        </c:ser>
        <c:ser>
          <c:idx val="10"/>
          <c:order val="10"/>
          <c:tx>
            <c:strRef>
              <c:f>SourceData!$CD$39</c:f>
              <c:strCache>
                <c:ptCount val="1"/>
                <c:pt idx="0">
                  <c:v>Burkina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SourceData!$CD$42:$CD$60</c:f>
              <c:numCache>
                <c:formatCode>0</c:formatCode>
                <c:ptCount val="19"/>
                <c:pt idx="0">
                  <c:v>0.93400000000000005</c:v>
                </c:pt>
                <c:pt idx="1">
                  <c:v>1.006</c:v>
                </c:pt>
                <c:pt idx="2">
                  <c:v>1.087</c:v>
                </c:pt>
                <c:pt idx="3">
                  <c:v>1.173</c:v>
                </c:pt>
                <c:pt idx="4">
                  <c:v>1.2649999999999999</c:v>
                </c:pt>
                <c:pt idx="5">
                  <c:v>1.3620000000000001</c:v>
                </c:pt>
                <c:pt idx="6">
                  <c:v>1.466</c:v>
                </c:pt>
                <c:pt idx="7">
                  <c:v>1.5760000000000001</c:v>
                </c:pt>
                <c:pt idx="8">
                  <c:v>1.694</c:v>
                </c:pt>
                <c:pt idx="9">
                  <c:v>1.82</c:v>
                </c:pt>
                <c:pt idx="10">
                  <c:v>1.9530000000000001</c:v>
                </c:pt>
                <c:pt idx="11">
                  <c:v>2.0950000000000002</c:v>
                </c:pt>
                <c:pt idx="12">
                  <c:v>2.2469999999999999</c:v>
                </c:pt>
                <c:pt idx="13">
                  <c:v>2.4079999999999999</c:v>
                </c:pt>
                <c:pt idx="14">
                  <c:v>2.5791599035457473</c:v>
                </c:pt>
                <c:pt idx="15">
                  <c:v>2.7609431087706602</c:v>
                </c:pt>
                <c:pt idx="16">
                  <c:v>2.9538872540530408</c:v>
                </c:pt>
                <c:pt idx="17">
                  <c:v>3.1585481656167387</c:v>
                </c:pt>
                <c:pt idx="18">
                  <c:v>3.3566758879355203</c:v>
                </c:pt>
              </c:numCache>
            </c:numRef>
          </c:val>
        </c:ser>
        <c:ser>
          <c:idx val="11"/>
          <c:order val="11"/>
          <c:tx>
            <c:strRef>
              <c:f>SourceData!$CE$39</c:f>
              <c:strCache>
                <c:ptCount val="1"/>
                <c:pt idx="0">
                  <c:v>Niger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SourceData!$CE$42:$CE$60</c:f>
              <c:numCache>
                <c:formatCode>0</c:formatCode>
                <c:ptCount val="19"/>
                <c:pt idx="0">
                  <c:v>0.91200000000000003</c:v>
                </c:pt>
                <c:pt idx="1">
                  <c:v>0.97699999999999998</c:v>
                </c:pt>
                <c:pt idx="2">
                  <c:v>1.044</c:v>
                </c:pt>
                <c:pt idx="3">
                  <c:v>1.2350000000000001</c:v>
                </c:pt>
                <c:pt idx="4">
                  <c:v>1.306</c:v>
                </c:pt>
                <c:pt idx="5">
                  <c:v>1.379</c:v>
                </c:pt>
                <c:pt idx="6">
                  <c:v>1.454</c:v>
                </c:pt>
                <c:pt idx="7">
                  <c:v>1.53</c:v>
                </c:pt>
                <c:pt idx="8">
                  <c:v>1.609</c:v>
                </c:pt>
                <c:pt idx="9">
                  <c:v>1.6910000000000001</c:v>
                </c:pt>
                <c:pt idx="10">
                  <c:v>1.774</c:v>
                </c:pt>
                <c:pt idx="11">
                  <c:v>1.86</c:v>
                </c:pt>
                <c:pt idx="12">
                  <c:v>1.948</c:v>
                </c:pt>
                <c:pt idx="13">
                  <c:v>2.0390000000000001</c:v>
                </c:pt>
                <c:pt idx="14">
                  <c:v>2.1316307701019488</c:v>
                </c:pt>
                <c:pt idx="15">
                  <c:v>2.2262807264355451</c:v>
                </c:pt>
                <c:pt idx="16">
                  <c:v>2.3228472064426127</c:v>
                </c:pt>
                <c:pt idx="17">
                  <c:v>2.4212169793868585</c:v>
                </c:pt>
                <c:pt idx="18">
                  <c:v>2.4965611450802547</c:v>
                </c:pt>
              </c:numCache>
            </c:numRef>
          </c:val>
        </c:ser>
        <c:ser>
          <c:idx val="12"/>
          <c:order val="12"/>
          <c:tx>
            <c:strRef>
              <c:f>SourceData!$CF$39</c:f>
              <c:strCache>
                <c:ptCount val="1"/>
                <c:pt idx="0">
                  <c:v>Nigeria</c:v>
                </c:pt>
              </c:strCache>
            </c:strRef>
          </c:tx>
          <c:cat>
            <c:numRef>
              <c:f>SourceData!$BS$42:$BS$60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SourceData!$CF$42:$CF$60</c:f>
              <c:numCache>
                <c:formatCode>0</c:formatCode>
                <c:ptCount val="19"/>
                <c:pt idx="0">
                  <c:v>58.069000000000003</c:v>
                </c:pt>
                <c:pt idx="1">
                  <c:v>61.320999999999998</c:v>
                </c:pt>
                <c:pt idx="2">
                  <c:v>64.963999999999999</c:v>
                </c:pt>
                <c:pt idx="3">
                  <c:v>68.83</c:v>
                </c:pt>
                <c:pt idx="4">
                  <c:v>72.926000000000002</c:v>
                </c:pt>
                <c:pt idx="5">
                  <c:v>77.257999999999996</c:v>
                </c:pt>
                <c:pt idx="6">
                  <c:v>81.855999999999995</c:v>
                </c:pt>
                <c:pt idx="7">
                  <c:v>86.716999999999999</c:v>
                </c:pt>
                <c:pt idx="8">
                  <c:v>91.873000000000005</c:v>
                </c:pt>
                <c:pt idx="9">
                  <c:v>98.731999999999999</c:v>
                </c:pt>
                <c:pt idx="10">
                  <c:v>104.604</c:v>
                </c:pt>
                <c:pt idx="11">
                  <c:v>110.821</c:v>
                </c:pt>
                <c:pt idx="12">
                  <c:v>117.41200000000001</c:v>
                </c:pt>
                <c:pt idx="13">
                  <c:v>124.393</c:v>
                </c:pt>
                <c:pt idx="14">
                  <c:v>131.03301608560352</c:v>
                </c:pt>
                <c:pt idx="15">
                  <c:v>137.62913057541735</c:v>
                </c:pt>
                <c:pt idx="16">
                  <c:v>144.13889556509724</c:v>
                </c:pt>
                <c:pt idx="17">
                  <c:v>150.51838481844393</c:v>
                </c:pt>
                <c:pt idx="18">
                  <c:v>152.23237173580938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569728"/>
        <c:axId val="368027136"/>
      </c:areaChart>
      <c:catAx>
        <c:axId val="3665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68027136"/>
        <c:crosses val="autoZero"/>
        <c:auto val="1"/>
        <c:lblAlgn val="ctr"/>
        <c:lblOffset val="100"/>
        <c:noMultiLvlLbl val="0"/>
      </c:catAx>
      <c:valAx>
        <c:axId val="36802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Secondary Electricity Demand (TWh)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656972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SourceData!$BE$63</c:f>
              <c:strCache>
                <c:ptCount val="1"/>
                <c:pt idx="0">
                  <c:v>Senegal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SourceData!$BE$64:$BE$102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1.0521564694082246</c:v>
                </c:pt>
                <c:pt idx="2">
                  <c:v>1.109662320294216</c:v>
                </c:pt>
                <c:pt idx="3">
                  <c:v>1.2517552657973923</c:v>
                </c:pt>
                <c:pt idx="4">
                  <c:v>1.4413239719157473</c:v>
                </c:pt>
                <c:pt idx="5">
                  <c:v>1.5165496489468404</c:v>
                </c:pt>
                <c:pt idx="6">
                  <c:v>1.5961216984286193</c:v>
                </c:pt>
                <c:pt idx="7">
                  <c:v>1.6803744567034438</c:v>
                </c:pt>
                <c:pt idx="8">
                  <c:v>1.7739886325643597</c:v>
                </c:pt>
                <c:pt idx="9">
                  <c:v>1.8803075894349717</c:v>
                </c:pt>
                <c:pt idx="10">
                  <c:v>1.9836175192243397</c:v>
                </c:pt>
                <c:pt idx="11">
                  <c:v>2.0932798395185555</c:v>
                </c:pt>
                <c:pt idx="12">
                  <c:v>2.210297559344701</c:v>
                </c:pt>
                <c:pt idx="13">
                  <c:v>2.3346706787027749</c:v>
                </c:pt>
                <c:pt idx="14">
                  <c:v>2.462041717319186</c:v>
                </c:pt>
                <c:pt idx="15">
                  <c:v>2.5947942940736732</c:v>
                </c:pt>
                <c:pt idx="16">
                  <c:v>2.733052983018339</c:v>
                </c:pt>
                <c:pt idx="17">
                  <c:v>2.876938638792164</c:v>
                </c:pt>
                <c:pt idx="18">
                  <c:v>3.0083248527998898</c:v>
                </c:pt>
                <c:pt idx="20" formatCode="0">
                  <c:v>1</c:v>
                </c:pt>
                <c:pt idx="21" formatCode="0">
                  <c:v>1.0521564694082246</c:v>
                </c:pt>
                <c:pt idx="22" formatCode="0">
                  <c:v>1.109662320294216</c:v>
                </c:pt>
                <c:pt idx="23" formatCode="0">
                  <c:v>1.2517552657973923</c:v>
                </c:pt>
                <c:pt idx="24" formatCode="0">
                  <c:v>1.4413239719157471</c:v>
                </c:pt>
                <c:pt idx="25" formatCode="0">
                  <c:v>1.5165496489468404</c:v>
                </c:pt>
                <c:pt idx="26" formatCode="0">
                  <c:v>1.5961216984286191</c:v>
                </c:pt>
                <c:pt idx="27" formatCode="0">
                  <c:v>1.6803744567034435</c:v>
                </c:pt>
                <c:pt idx="28" formatCode="0">
                  <c:v>1.7739886325643597</c:v>
                </c:pt>
                <c:pt idx="29" formatCode="0">
                  <c:v>1.8803075894349714</c:v>
                </c:pt>
                <c:pt idx="30" formatCode="0">
                  <c:v>1.9836175192243395</c:v>
                </c:pt>
                <c:pt idx="31" formatCode="0">
                  <c:v>2.0932798395185555</c:v>
                </c:pt>
                <c:pt idx="32" formatCode="0">
                  <c:v>2.2102975593447005</c:v>
                </c:pt>
                <c:pt idx="33" formatCode="0">
                  <c:v>2.3346706787027749</c:v>
                </c:pt>
                <c:pt idx="34" formatCode="0">
                  <c:v>2.4620417173191855</c:v>
                </c:pt>
                <c:pt idx="35" formatCode="0">
                  <c:v>2.5947942940736732</c:v>
                </c:pt>
                <c:pt idx="36" formatCode="0">
                  <c:v>2.733052983018339</c:v>
                </c:pt>
                <c:pt idx="37" formatCode="0">
                  <c:v>2.8769386387921645</c:v>
                </c:pt>
                <c:pt idx="38" formatCode="0">
                  <c:v>3.0083248527998898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SourceData!$BF$63</c:f>
              <c:strCache>
                <c:ptCount val="1"/>
                <c:pt idx="0">
                  <c:v>Gambia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SourceData!$BF$64:$BF$102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1.228486646884273</c:v>
                </c:pt>
                <c:pt idx="2">
                  <c:v>1.4718100890207715</c:v>
                </c:pt>
                <c:pt idx="3">
                  <c:v>1.7388724035608309</c:v>
                </c:pt>
                <c:pt idx="4">
                  <c:v>2.2166172106824926</c:v>
                </c:pt>
                <c:pt idx="5">
                  <c:v>2.2878338278931749</c:v>
                </c:pt>
                <c:pt idx="6">
                  <c:v>2.3620178041543025</c:v>
                </c:pt>
                <c:pt idx="7">
                  <c:v>2.4362017804154301</c:v>
                </c:pt>
                <c:pt idx="8">
                  <c:v>2.513353115727003</c:v>
                </c:pt>
                <c:pt idx="9">
                  <c:v>2.6083086053412461</c:v>
                </c:pt>
                <c:pt idx="10">
                  <c:v>2.7062314540059349</c:v>
                </c:pt>
                <c:pt idx="11">
                  <c:v>2.8041543026706233</c:v>
                </c:pt>
                <c:pt idx="12">
                  <c:v>2.9080118694362018</c:v>
                </c:pt>
                <c:pt idx="13">
                  <c:v>3.0178041543026706</c:v>
                </c:pt>
                <c:pt idx="14">
                  <c:v>3.1297436105081684</c:v>
                </c:pt>
                <c:pt idx="15">
                  <c:v>3.2456611548972316</c:v>
                </c:pt>
                <c:pt idx="16">
                  <c:v>3.3656914515363052</c:v>
                </c:pt>
                <c:pt idx="17">
                  <c:v>3.4899734733048913</c:v>
                </c:pt>
                <c:pt idx="18">
                  <c:v>3.6167101010694607</c:v>
                </c:pt>
                <c:pt idx="20" formatCode="0">
                  <c:v>1</c:v>
                </c:pt>
                <c:pt idx="21" formatCode="0">
                  <c:v>1.2284866468842728</c:v>
                </c:pt>
                <c:pt idx="22" formatCode="0">
                  <c:v>1.4718100890207715</c:v>
                </c:pt>
                <c:pt idx="23" formatCode="0">
                  <c:v>1.7388724035608307</c:v>
                </c:pt>
                <c:pt idx="24" formatCode="0">
                  <c:v>2.2166172106824926</c:v>
                </c:pt>
                <c:pt idx="25" formatCode="0">
                  <c:v>2.2878338278931749</c:v>
                </c:pt>
                <c:pt idx="26" formatCode="0">
                  <c:v>2.3620178041543025</c:v>
                </c:pt>
                <c:pt idx="27" formatCode="0">
                  <c:v>2.4362017804154301</c:v>
                </c:pt>
                <c:pt idx="28" formatCode="0">
                  <c:v>2.5133531157270026</c:v>
                </c:pt>
                <c:pt idx="29" formatCode="0">
                  <c:v>2.6083086053412461</c:v>
                </c:pt>
                <c:pt idx="30" formatCode="0">
                  <c:v>2.7062314540059345</c:v>
                </c:pt>
                <c:pt idx="31" formatCode="0">
                  <c:v>2.8041543026706228</c:v>
                </c:pt>
                <c:pt idx="32" formatCode="0">
                  <c:v>2.9080118694362014</c:v>
                </c:pt>
                <c:pt idx="33" formatCode="0">
                  <c:v>3.0178041543026701</c:v>
                </c:pt>
                <c:pt idx="34" formatCode="0">
                  <c:v>3.129743610508168</c:v>
                </c:pt>
                <c:pt idx="35" formatCode="0">
                  <c:v>3.2456611548972312</c:v>
                </c:pt>
                <c:pt idx="36" formatCode="0">
                  <c:v>3.3656914515363048</c:v>
                </c:pt>
                <c:pt idx="37" formatCode="0">
                  <c:v>3.4899734733048913</c:v>
                </c:pt>
                <c:pt idx="38" formatCode="0">
                  <c:v>3.6167101010694602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SourceData!$BG$63</c:f>
              <c:strCache>
                <c:ptCount val="1"/>
                <c:pt idx="0">
                  <c:v>Guinée Bissau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SourceData!$BG$64:$BG$102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1.0536912751677852</c:v>
                </c:pt>
                <c:pt idx="2">
                  <c:v>1.1208053691275168</c:v>
                </c:pt>
                <c:pt idx="3">
                  <c:v>1.1812080536912752</c:v>
                </c:pt>
                <c:pt idx="4">
                  <c:v>1.2550335570469799</c:v>
                </c:pt>
                <c:pt idx="5">
                  <c:v>1.563758389261745</c:v>
                </c:pt>
                <c:pt idx="6">
                  <c:v>1.8859060402684564</c:v>
                </c:pt>
                <c:pt idx="7">
                  <c:v>2.2281879194630871</c:v>
                </c:pt>
                <c:pt idx="8">
                  <c:v>2.5838926174496644</c:v>
                </c:pt>
                <c:pt idx="9">
                  <c:v>2.9597315436241609</c:v>
                </c:pt>
                <c:pt idx="10">
                  <c:v>3.1208053691275168</c:v>
                </c:pt>
                <c:pt idx="11">
                  <c:v>3.2953020134228188</c:v>
                </c:pt>
                <c:pt idx="12">
                  <c:v>3.4697986577181208</c:v>
                </c:pt>
                <c:pt idx="13">
                  <c:v>3.6577181208053693</c:v>
                </c:pt>
                <c:pt idx="14">
                  <c:v>3.8531291561559033</c:v>
                </c:pt>
                <c:pt idx="15">
                  <c:v>4.057534848316747</c:v>
                </c:pt>
                <c:pt idx="16">
                  <c:v>4.2712624137761113</c:v>
                </c:pt>
                <c:pt idx="17">
                  <c:v>4.4946460623720066</c:v>
                </c:pt>
                <c:pt idx="18">
                  <c:v>4.7112095600438799</c:v>
                </c:pt>
                <c:pt idx="20" formatCode="0">
                  <c:v>1</c:v>
                </c:pt>
                <c:pt idx="21" formatCode="0">
                  <c:v>1.0536912751677854</c:v>
                </c:pt>
                <c:pt idx="22" formatCode="0">
                  <c:v>1.1208053691275168</c:v>
                </c:pt>
                <c:pt idx="23" formatCode="0">
                  <c:v>1.1812080536912752</c:v>
                </c:pt>
                <c:pt idx="24" formatCode="0">
                  <c:v>3.6107382550335574</c:v>
                </c:pt>
                <c:pt idx="25" formatCode="0">
                  <c:v>3.9194630872483223</c:v>
                </c:pt>
                <c:pt idx="26" formatCode="0">
                  <c:v>4.2416107382550337</c:v>
                </c:pt>
                <c:pt idx="27" formatCode="0">
                  <c:v>4.5838926174496653</c:v>
                </c:pt>
                <c:pt idx="28" formatCode="0">
                  <c:v>7.2885906040268464</c:v>
                </c:pt>
                <c:pt idx="29" formatCode="0">
                  <c:v>7.6644295302013417</c:v>
                </c:pt>
                <c:pt idx="30" formatCode="0">
                  <c:v>7.825503355704698</c:v>
                </c:pt>
                <c:pt idx="31" formatCode="0">
                  <c:v>8</c:v>
                </c:pt>
                <c:pt idx="32" formatCode="0">
                  <c:v>8.1744966442953029</c:v>
                </c:pt>
                <c:pt idx="33" formatCode="0">
                  <c:v>8.3624161073825505</c:v>
                </c:pt>
                <c:pt idx="34" formatCode="0">
                  <c:v>8.5578271427330854</c:v>
                </c:pt>
                <c:pt idx="35" formatCode="0">
                  <c:v>8.7622328348939273</c:v>
                </c:pt>
                <c:pt idx="36" formatCode="0">
                  <c:v>8.9759604003532925</c:v>
                </c:pt>
                <c:pt idx="37" formatCode="0">
                  <c:v>9.1993440489491896</c:v>
                </c:pt>
                <c:pt idx="38" formatCode="0">
                  <c:v>9.4159075466210602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SourceData!$BH$63</c:f>
              <c:strCache>
                <c:ptCount val="1"/>
                <c:pt idx="0">
                  <c:v>Guinea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SourceData!$BH$64:$BH$102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1.2289473684210526</c:v>
                </c:pt>
                <c:pt idx="2">
                  <c:v>1.45</c:v>
                </c:pt>
                <c:pt idx="3">
                  <c:v>2.0565789473684211</c:v>
                </c:pt>
                <c:pt idx="4">
                  <c:v>2.2605263157894737</c:v>
                </c:pt>
                <c:pt idx="5">
                  <c:v>2.3236842105263156</c:v>
                </c:pt>
                <c:pt idx="6">
                  <c:v>2.3934210526315791</c:v>
                </c:pt>
                <c:pt idx="7">
                  <c:v>2.4671052631578947</c:v>
                </c:pt>
                <c:pt idx="8">
                  <c:v>2.5486842105263157</c:v>
                </c:pt>
                <c:pt idx="9">
                  <c:v>2.6736842105263157</c:v>
                </c:pt>
                <c:pt idx="10">
                  <c:v>2.7644736842105262</c:v>
                </c:pt>
                <c:pt idx="11">
                  <c:v>2.8552631578947367</c:v>
                </c:pt>
                <c:pt idx="12">
                  <c:v>2.9447368421052631</c:v>
                </c:pt>
                <c:pt idx="13">
                  <c:v>3.0368421052631578</c:v>
                </c:pt>
                <c:pt idx="14">
                  <c:v>3.1278495305657099</c:v>
                </c:pt>
                <c:pt idx="15">
                  <c:v>3.218599841201252</c:v>
                </c:pt>
                <c:pt idx="16">
                  <c:v>3.308912155063175</c:v>
                </c:pt>
                <c:pt idx="17">
                  <c:v>3.3986014231394894</c:v>
                </c:pt>
                <c:pt idx="18">
                  <c:v>3.4552466148095911</c:v>
                </c:pt>
                <c:pt idx="20" formatCode="0">
                  <c:v>1</c:v>
                </c:pt>
                <c:pt idx="21" formatCode="0">
                  <c:v>1.2289473684210528</c:v>
                </c:pt>
                <c:pt idx="22" formatCode="0">
                  <c:v>1.4500000000000002</c:v>
                </c:pt>
                <c:pt idx="23" formatCode="0">
                  <c:v>2.0565789473684211</c:v>
                </c:pt>
                <c:pt idx="24" formatCode="0">
                  <c:v>5.7381578947368421</c:v>
                </c:pt>
                <c:pt idx="25" formatCode="0">
                  <c:v>5.8526315789473689</c:v>
                </c:pt>
                <c:pt idx="26" formatCode="0">
                  <c:v>5.9763157894736842</c:v>
                </c:pt>
                <c:pt idx="27" formatCode="0">
                  <c:v>8.8671052631578942</c:v>
                </c:pt>
                <c:pt idx="28" formatCode="0">
                  <c:v>9.0434210526315795</c:v>
                </c:pt>
                <c:pt idx="29" formatCode="0">
                  <c:v>9.2671052631578945</c:v>
                </c:pt>
                <c:pt idx="30" formatCode="0">
                  <c:v>9.4565789473684205</c:v>
                </c:pt>
                <c:pt idx="31" formatCode="0">
                  <c:v>9.6473684210526311</c:v>
                </c:pt>
                <c:pt idx="32" formatCode="0">
                  <c:v>9.8381578947368418</c:v>
                </c:pt>
                <c:pt idx="33" formatCode="0">
                  <c:v>10.034210526315789</c:v>
                </c:pt>
                <c:pt idx="34" formatCode="0">
                  <c:v>10.223024969162214</c:v>
                </c:pt>
                <c:pt idx="35" formatCode="0">
                  <c:v>10.415120309037501</c:v>
                </c:pt>
                <c:pt idx="36" formatCode="0">
                  <c:v>10.606884864614823</c:v>
                </c:pt>
                <c:pt idx="37" formatCode="0">
                  <c:v>10.797672898123247</c:v>
                </c:pt>
                <c:pt idx="38" formatCode="0">
                  <c:v>10.95192581280457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SourceData!$BI$63</c:f>
              <c:strCache>
                <c:ptCount val="1"/>
                <c:pt idx="0">
                  <c:v>Sierra Leone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SourceData!$BI$64:$BI$102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1.3595505617977528</c:v>
                </c:pt>
                <c:pt idx="2">
                  <c:v>1.8202247191011236</c:v>
                </c:pt>
                <c:pt idx="3">
                  <c:v>2.1985018726591758</c:v>
                </c:pt>
                <c:pt idx="4">
                  <c:v>2.6779026217228465</c:v>
                </c:pt>
                <c:pt idx="5">
                  <c:v>2.9550561797752808</c:v>
                </c:pt>
                <c:pt idx="6">
                  <c:v>3.101123595505618</c:v>
                </c:pt>
                <c:pt idx="7">
                  <c:v>3.2509363295880149</c:v>
                </c:pt>
                <c:pt idx="8">
                  <c:v>3.3970037453183521</c:v>
                </c:pt>
                <c:pt idx="9">
                  <c:v>3.5842696629213484</c:v>
                </c:pt>
                <c:pt idx="10">
                  <c:v>3.7715355805243447</c:v>
                </c:pt>
                <c:pt idx="11">
                  <c:v>3.9588014981273409</c:v>
                </c:pt>
                <c:pt idx="12">
                  <c:v>4.1460674157303368</c:v>
                </c:pt>
                <c:pt idx="13">
                  <c:v>4.333333333333333</c:v>
                </c:pt>
                <c:pt idx="14">
                  <c:v>4.5183478651843005</c:v>
                </c:pt>
                <c:pt idx="15">
                  <c:v>4.7006041972456405</c:v>
                </c:pt>
                <c:pt idx="16">
                  <c:v>4.8791247830359445</c:v>
                </c:pt>
                <c:pt idx="17">
                  <c:v>5.0529167738189544</c:v>
                </c:pt>
                <c:pt idx="18">
                  <c:v>5.1035435465464865</c:v>
                </c:pt>
                <c:pt idx="20" formatCode="0">
                  <c:v>1</c:v>
                </c:pt>
                <c:pt idx="21" formatCode="0">
                  <c:v>1.6110210696920584</c:v>
                </c:pt>
                <c:pt idx="22" formatCode="0">
                  <c:v>2.2641815235008105</c:v>
                </c:pt>
                <c:pt idx="23" formatCode="0">
                  <c:v>2.4278768233387358</c:v>
                </c:pt>
                <c:pt idx="24" formatCode="0">
                  <c:v>3.7714748784440841</c:v>
                </c:pt>
                <c:pt idx="25" formatCode="0">
                  <c:v>5.0275526742301455</c:v>
                </c:pt>
                <c:pt idx="26" formatCode="0">
                  <c:v>6.2252836304700168</c:v>
                </c:pt>
                <c:pt idx="27" formatCode="0">
                  <c:v>8.1085899513776347</c:v>
                </c:pt>
                <c:pt idx="28" formatCode="0">
                  <c:v>9.9886547811993527</c:v>
                </c:pt>
                <c:pt idx="29" formatCode="0">
                  <c:v>10.06969205834684</c:v>
                </c:pt>
                <c:pt idx="30" formatCode="0">
                  <c:v>10.150729335494328</c:v>
                </c:pt>
                <c:pt idx="31" formatCode="0">
                  <c:v>10.231766612641815</c:v>
                </c:pt>
                <c:pt idx="32" formatCode="0">
                  <c:v>10.312803889789304</c:v>
                </c:pt>
                <c:pt idx="33" formatCode="0">
                  <c:v>10.393841166936792</c:v>
                </c:pt>
                <c:pt idx="34" formatCode="0">
                  <c:v>10.473904181530321</c:v>
                </c:pt>
                <c:pt idx="35" formatCode="0">
                  <c:v>10.552773615339685</c:v>
                </c:pt>
                <c:pt idx="36" formatCode="0">
                  <c:v>10.630026445819444</c:v>
                </c:pt>
                <c:pt idx="37" formatCode="0">
                  <c:v>10.70523302854078</c:v>
                </c:pt>
                <c:pt idx="38" formatCode="0">
                  <c:v>10.727141210580085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SourceData!$BJ$63</c:f>
              <c:strCache>
                <c:ptCount val="1"/>
                <c:pt idx="0">
                  <c:v>Liberia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SourceData!$BJ$64:$BJ$102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1.5523809523809524</c:v>
                </c:pt>
                <c:pt idx="2">
                  <c:v>2.1523809523809523</c:v>
                </c:pt>
                <c:pt idx="3">
                  <c:v>2.5047619047619047</c:v>
                </c:pt>
                <c:pt idx="4">
                  <c:v>2.657142857142857</c:v>
                </c:pt>
                <c:pt idx="5">
                  <c:v>2.8190476190476192</c:v>
                </c:pt>
                <c:pt idx="6">
                  <c:v>2.9904761904761905</c:v>
                </c:pt>
                <c:pt idx="7">
                  <c:v>3.1809523809523808</c:v>
                </c:pt>
                <c:pt idx="8">
                  <c:v>3.3809523809523809</c:v>
                </c:pt>
                <c:pt idx="9">
                  <c:v>3.6</c:v>
                </c:pt>
                <c:pt idx="10">
                  <c:v>3.8285714285714287</c:v>
                </c:pt>
                <c:pt idx="11">
                  <c:v>4.0761904761904759</c:v>
                </c:pt>
                <c:pt idx="12">
                  <c:v>4.333333333333333</c:v>
                </c:pt>
                <c:pt idx="13">
                  <c:v>4.6095238095238091</c:v>
                </c:pt>
                <c:pt idx="14">
                  <c:v>4.8994258784115905</c:v>
                </c:pt>
                <c:pt idx="15">
                  <c:v>5.2052568664164598</c:v>
                </c:pt>
                <c:pt idx="16">
                  <c:v>5.5277309856233279</c:v>
                </c:pt>
                <c:pt idx="17">
                  <c:v>5.8675838906956548</c:v>
                </c:pt>
                <c:pt idx="18">
                  <c:v>6.1980639136339084</c:v>
                </c:pt>
                <c:pt idx="20" formatCode="0">
                  <c:v>1</c:v>
                </c:pt>
                <c:pt idx="21" formatCode="0">
                  <c:v>2.1304347826086953</c:v>
                </c:pt>
                <c:pt idx="22" formatCode="0">
                  <c:v>6.3985507246376807</c:v>
                </c:pt>
                <c:pt idx="23" formatCode="0">
                  <c:v>10.478260869565217</c:v>
                </c:pt>
                <c:pt idx="24" formatCode="0">
                  <c:v>15.355072463768117</c:v>
                </c:pt>
                <c:pt idx="25" formatCode="0">
                  <c:v>15.478260869565217</c:v>
                </c:pt>
                <c:pt idx="26" formatCode="0">
                  <c:v>15.60869565217391</c:v>
                </c:pt>
                <c:pt idx="27" formatCode="0">
                  <c:v>15.753623188405795</c:v>
                </c:pt>
                <c:pt idx="28" formatCode="0">
                  <c:v>15.905797101449274</c:v>
                </c:pt>
                <c:pt idx="29" formatCode="0">
                  <c:v>16.072463768115941</c:v>
                </c:pt>
                <c:pt idx="30" formatCode="0">
                  <c:v>16.246376811594203</c:v>
                </c:pt>
                <c:pt idx="31" formatCode="0">
                  <c:v>16.434782608695649</c:v>
                </c:pt>
                <c:pt idx="32" formatCode="0">
                  <c:v>16.630434782608695</c:v>
                </c:pt>
                <c:pt idx="33" formatCode="0">
                  <c:v>16.840579710144926</c:v>
                </c:pt>
                <c:pt idx="34" formatCode="0">
                  <c:v>17.061157371255195</c:v>
                </c:pt>
                <c:pt idx="35" formatCode="0">
                  <c:v>17.293854862128466</c:v>
                </c:pt>
                <c:pt idx="36" formatCode="0">
                  <c:v>17.539215605003253</c:v>
                </c:pt>
                <c:pt idx="37" formatCode="0">
                  <c:v>17.797799337123504</c:v>
                </c:pt>
                <c:pt idx="38" formatCode="0">
                  <c:v>18.049251528489567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SourceData!$BK$63</c:f>
              <c:strCache>
                <c:ptCount val="1"/>
                <c:pt idx="0">
                  <c:v>Mali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SourceData!$BK$64:$BK$102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1.1217532467532467</c:v>
                </c:pt>
                <c:pt idx="2">
                  <c:v>1.713474025974026</c:v>
                </c:pt>
                <c:pt idx="3">
                  <c:v>1.8068181818181819</c:v>
                </c:pt>
                <c:pt idx="4">
                  <c:v>2.3506493506493507</c:v>
                </c:pt>
                <c:pt idx="5">
                  <c:v>2.4326298701298703</c:v>
                </c:pt>
                <c:pt idx="6">
                  <c:v>2.5592532467532467</c:v>
                </c:pt>
                <c:pt idx="7">
                  <c:v>2.6363636363636362</c:v>
                </c:pt>
                <c:pt idx="8">
                  <c:v>2.758116883116883</c:v>
                </c:pt>
                <c:pt idx="9">
                  <c:v>2.8952922077922079</c:v>
                </c:pt>
                <c:pt idx="10">
                  <c:v>3.0357142857142856</c:v>
                </c:pt>
                <c:pt idx="11">
                  <c:v>3.1785714285714284</c:v>
                </c:pt>
                <c:pt idx="12">
                  <c:v>3.3254870129870131</c:v>
                </c:pt>
                <c:pt idx="13">
                  <c:v>3.4756493506493507</c:v>
                </c:pt>
                <c:pt idx="14">
                  <c:v>3.6282373264357295</c:v>
                </c:pt>
                <c:pt idx="15">
                  <c:v>3.7833735891730251</c:v>
                </c:pt>
                <c:pt idx="16">
                  <c:v>3.9408150681860405</c:v>
                </c:pt>
                <c:pt idx="17">
                  <c:v>4.1003001101451844</c:v>
                </c:pt>
                <c:pt idx="18">
                  <c:v>4.2149758604247989</c:v>
                </c:pt>
                <c:pt idx="20" formatCode="0">
                  <c:v>1</c:v>
                </c:pt>
                <c:pt idx="21" formatCode="0">
                  <c:v>1.1217532467532467</c:v>
                </c:pt>
                <c:pt idx="22" formatCode="0">
                  <c:v>1.7134740259740262</c:v>
                </c:pt>
                <c:pt idx="23" formatCode="0">
                  <c:v>1.8068181818181819</c:v>
                </c:pt>
                <c:pt idx="24" formatCode="0">
                  <c:v>2.3506493506493507</c:v>
                </c:pt>
                <c:pt idx="25" formatCode="0">
                  <c:v>2.4326298701298699</c:v>
                </c:pt>
                <c:pt idx="26" formatCode="0">
                  <c:v>2.5592532467532467</c:v>
                </c:pt>
                <c:pt idx="27" formatCode="0">
                  <c:v>2.6363636363636367</c:v>
                </c:pt>
                <c:pt idx="28" formatCode="0">
                  <c:v>2.7581168831168834</c:v>
                </c:pt>
                <c:pt idx="29" formatCode="0">
                  <c:v>2.8952922077922079</c:v>
                </c:pt>
                <c:pt idx="30" formatCode="0">
                  <c:v>3.035714285714286</c:v>
                </c:pt>
                <c:pt idx="31" formatCode="0">
                  <c:v>3.1785714285714284</c:v>
                </c:pt>
                <c:pt idx="32" formatCode="0">
                  <c:v>3.3254870129870135</c:v>
                </c:pt>
                <c:pt idx="33" formatCode="0">
                  <c:v>3.4756493506493507</c:v>
                </c:pt>
                <c:pt idx="34" formatCode="0">
                  <c:v>3.6282373264357295</c:v>
                </c:pt>
                <c:pt idx="35" formatCode="0">
                  <c:v>3.7833735891730256</c:v>
                </c:pt>
                <c:pt idx="36" formatCode="0">
                  <c:v>3.9408150681860405</c:v>
                </c:pt>
                <c:pt idx="37" formatCode="0">
                  <c:v>4.1003001101451844</c:v>
                </c:pt>
                <c:pt idx="38" formatCode="0">
                  <c:v>4.2149758604247989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SourceData!$BL$63</c:f>
              <c:strCache>
                <c:ptCount val="1"/>
                <c:pt idx="0">
                  <c:v>Ivory Coast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SourceData!$BL$64:$BL$102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1.0640062597809077</c:v>
                </c:pt>
                <c:pt idx="2">
                  <c:v>1.1338028169014085</c:v>
                </c:pt>
                <c:pt idx="3">
                  <c:v>1.2098591549295774</c:v>
                </c:pt>
                <c:pt idx="4">
                  <c:v>1.2827856025039124</c:v>
                </c:pt>
                <c:pt idx="5">
                  <c:v>1.3583724569640063</c:v>
                </c:pt>
                <c:pt idx="6">
                  <c:v>1.4369327073552425</c:v>
                </c:pt>
                <c:pt idx="7">
                  <c:v>1.5184663536776213</c:v>
                </c:pt>
                <c:pt idx="8">
                  <c:v>1.603129890453834</c:v>
                </c:pt>
                <c:pt idx="9">
                  <c:v>1.6912363067292644</c:v>
                </c:pt>
                <c:pt idx="10">
                  <c:v>1.7826291079812207</c:v>
                </c:pt>
                <c:pt idx="11">
                  <c:v>1.877621283255086</c:v>
                </c:pt>
                <c:pt idx="12">
                  <c:v>1.9762128325508608</c:v>
                </c:pt>
                <c:pt idx="13">
                  <c:v>2.0788732394366196</c:v>
                </c:pt>
                <c:pt idx="14">
                  <c:v>2.18506800702318</c:v>
                </c:pt>
                <c:pt idx="15">
                  <c:v>2.2950373000861108</c:v>
                </c:pt>
                <c:pt idx="16">
                  <c:v>2.4088078302487661</c:v>
                </c:pt>
                <c:pt idx="17">
                  <c:v>2.5263990613360958</c:v>
                </c:pt>
                <c:pt idx="18">
                  <c:v>2.6288319449626063</c:v>
                </c:pt>
                <c:pt idx="20" formatCode="0">
                  <c:v>1</c:v>
                </c:pt>
                <c:pt idx="21" formatCode="0">
                  <c:v>1.0640062597809077</c:v>
                </c:pt>
                <c:pt idx="22" formatCode="0">
                  <c:v>1.1338028169014085</c:v>
                </c:pt>
                <c:pt idx="23" formatCode="0">
                  <c:v>1.2098591549295774</c:v>
                </c:pt>
                <c:pt idx="24" formatCode="0">
                  <c:v>1.2827856025039124</c:v>
                </c:pt>
                <c:pt idx="25" formatCode="0">
                  <c:v>1.3583724569640063</c:v>
                </c:pt>
                <c:pt idx="26" formatCode="0">
                  <c:v>1.4369327073552427</c:v>
                </c:pt>
                <c:pt idx="27" formatCode="0">
                  <c:v>1.5184663536776213</c:v>
                </c:pt>
                <c:pt idx="28" formatCode="0">
                  <c:v>1.6031298904538342</c:v>
                </c:pt>
                <c:pt idx="29" formatCode="0">
                  <c:v>1.6912363067292646</c:v>
                </c:pt>
                <c:pt idx="30" formatCode="0">
                  <c:v>1.7826291079812207</c:v>
                </c:pt>
                <c:pt idx="31" formatCode="0">
                  <c:v>1.877621283255086</c:v>
                </c:pt>
                <c:pt idx="32" formatCode="0">
                  <c:v>1.9762128325508608</c:v>
                </c:pt>
                <c:pt idx="33" formatCode="0">
                  <c:v>2.0788732394366201</c:v>
                </c:pt>
                <c:pt idx="34" formatCode="0">
                  <c:v>2.18506800702318</c:v>
                </c:pt>
                <c:pt idx="35" formatCode="0">
                  <c:v>2.2950373000861108</c:v>
                </c:pt>
                <c:pt idx="36" formatCode="0">
                  <c:v>2.4088078302487661</c:v>
                </c:pt>
                <c:pt idx="37" formatCode="0">
                  <c:v>2.5263990613360963</c:v>
                </c:pt>
                <c:pt idx="38" formatCode="0">
                  <c:v>2.6288319449626063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SourceData!$BM$63</c:f>
              <c:strCache>
                <c:ptCount val="1"/>
                <c:pt idx="0">
                  <c:v>Ghana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SourceData!$BM$64:$BM$102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1.0644851741675463</c:v>
                </c:pt>
                <c:pt idx="2">
                  <c:v>1.128874388254486</c:v>
                </c:pt>
                <c:pt idx="3">
                  <c:v>1.197965646291143</c:v>
                </c:pt>
                <c:pt idx="4">
                  <c:v>1.2716629881969101</c:v>
                </c:pt>
                <c:pt idx="5">
                  <c:v>1.3501583341330006</c:v>
                </c:pt>
                <c:pt idx="6">
                  <c:v>1.4337395643412341</c:v>
                </c:pt>
                <c:pt idx="7">
                  <c:v>1.5227905191440361</c:v>
                </c:pt>
                <c:pt idx="8">
                  <c:v>1.6175990787832262</c:v>
                </c:pt>
                <c:pt idx="9">
                  <c:v>1.7184531235006237</c:v>
                </c:pt>
                <c:pt idx="10">
                  <c:v>1.8258324536992612</c:v>
                </c:pt>
                <c:pt idx="11">
                  <c:v>1.9401209097015641</c:v>
                </c:pt>
                <c:pt idx="12">
                  <c:v>2.0617023318299585</c:v>
                </c:pt>
                <c:pt idx="13">
                  <c:v>2.1909605604068707</c:v>
                </c:pt>
                <c:pt idx="14">
                  <c:v>2.3285981082331242</c:v>
                </c:pt>
                <c:pt idx="15">
                  <c:v>2.4750858235274102</c:v>
                </c:pt>
                <c:pt idx="16">
                  <c:v>2.6310053067963457</c:v>
                </c:pt>
                <c:pt idx="17">
                  <c:v>2.7969771701259547</c:v>
                </c:pt>
                <c:pt idx="18">
                  <c:v>2.9761116014169962</c:v>
                </c:pt>
                <c:pt idx="20" formatCode="0">
                  <c:v>1</c:v>
                </c:pt>
                <c:pt idx="21" formatCode="0">
                  <c:v>1.1132509586706434</c:v>
                </c:pt>
                <c:pt idx="22" formatCode="0">
                  <c:v>1.1704303365999147</c:v>
                </c:pt>
                <c:pt idx="23" formatCode="0">
                  <c:v>1.2317852577758841</c:v>
                </c:pt>
                <c:pt idx="24" formatCode="0">
                  <c:v>1.2972305070302514</c:v>
                </c:pt>
                <c:pt idx="25" formatCode="0">
                  <c:v>1.3669365146996166</c:v>
                </c:pt>
                <c:pt idx="26" formatCode="0">
                  <c:v>1.4411589262888793</c:v>
                </c:pt>
                <c:pt idx="27" formatCode="0">
                  <c:v>1.52023860247124</c:v>
                </c:pt>
                <c:pt idx="28" formatCode="0">
                  <c:v>1.6044311887515978</c:v>
                </c:pt>
                <c:pt idx="29" formatCode="0">
                  <c:v>1.6939923306348532</c:v>
                </c:pt>
                <c:pt idx="30" formatCode="0">
                  <c:v>1.7893481039625054</c:v>
                </c:pt>
                <c:pt idx="31" formatCode="0">
                  <c:v>1.8908393694077548</c:v>
                </c:pt>
                <c:pt idx="32" formatCode="0">
                  <c:v>1.9988069876438006</c:v>
                </c:pt>
                <c:pt idx="33" formatCode="0">
                  <c:v>2.1135918193438434</c:v>
                </c:pt>
                <c:pt idx="34" formatCode="0">
                  <c:v>2.2358177150317333</c:v>
                </c:pt>
                <c:pt idx="35" formatCode="0">
                  <c:v>2.3659028007651592</c:v>
                </c:pt>
                <c:pt idx="36" formatCode="0">
                  <c:v>2.5043635536535769</c:v>
                </c:pt>
                <c:pt idx="37" formatCode="0">
                  <c:v>2.6517510941527545</c:v>
                </c:pt>
                <c:pt idx="38" formatCode="0">
                  <c:v>2.8108273539298265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SourceData!$BN$63</c:f>
              <c:strCache>
                <c:ptCount val="1"/>
                <c:pt idx="0">
                  <c:v>Togo/Benin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SourceData!$BN$64:$BN$102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1.0872240318494391</c:v>
                </c:pt>
                <c:pt idx="2">
                  <c:v>1.1827723488961275</c:v>
                </c:pt>
                <c:pt idx="3">
                  <c:v>1.2837495475931957</c:v>
                </c:pt>
                <c:pt idx="4">
                  <c:v>1.3901556279406442</c:v>
                </c:pt>
                <c:pt idx="5">
                  <c:v>1.5023525153818313</c:v>
                </c:pt>
                <c:pt idx="6">
                  <c:v>1.6207021353601159</c:v>
                </c:pt>
                <c:pt idx="7">
                  <c:v>1.7452044878754978</c:v>
                </c:pt>
                <c:pt idx="8">
                  <c:v>1.8765834238146941</c:v>
                </c:pt>
                <c:pt idx="9">
                  <c:v>2.0148389431777054</c:v>
                </c:pt>
                <c:pt idx="10">
                  <c:v>2.1610568222946074</c:v>
                </c:pt>
                <c:pt idx="11">
                  <c:v>2.3145132102786827</c:v>
                </c:pt>
                <c:pt idx="12">
                  <c:v>2.4762938834600075</c:v>
                </c:pt>
                <c:pt idx="13">
                  <c:v>2.6471226927252984</c:v>
                </c:pt>
                <c:pt idx="14">
                  <c:v>2.8261026582087219</c:v>
                </c:pt>
                <c:pt idx="15">
                  <c:v>3.0137788536180357</c:v>
                </c:pt>
                <c:pt idx="16">
                  <c:v>3.2102869985165268</c:v>
                </c:pt>
                <c:pt idx="17">
                  <c:v>3.4157400642604561</c:v>
                </c:pt>
                <c:pt idx="18">
                  <c:v>3.5893716767683803</c:v>
                </c:pt>
                <c:pt idx="20" formatCode="0">
                  <c:v>1</c:v>
                </c:pt>
                <c:pt idx="21" formatCode="0">
                  <c:v>1.0872240318494391</c:v>
                </c:pt>
                <c:pt idx="22" formatCode="0">
                  <c:v>1.1827723488961273</c:v>
                </c:pt>
                <c:pt idx="23" formatCode="0">
                  <c:v>1.2837495475931959</c:v>
                </c:pt>
                <c:pt idx="24" formatCode="0">
                  <c:v>1.3901556279406444</c:v>
                </c:pt>
                <c:pt idx="25" formatCode="0">
                  <c:v>1.5023525153818313</c:v>
                </c:pt>
                <c:pt idx="26" formatCode="0">
                  <c:v>1.6207021353601159</c:v>
                </c:pt>
                <c:pt idx="27" formatCode="0">
                  <c:v>1.7452044878754978</c:v>
                </c:pt>
                <c:pt idx="28" formatCode="0">
                  <c:v>1.8765834238146941</c:v>
                </c:pt>
                <c:pt idx="29" formatCode="0">
                  <c:v>2.0148389431777054</c:v>
                </c:pt>
                <c:pt idx="30" formatCode="0">
                  <c:v>2.1610568222946074</c:v>
                </c:pt>
                <c:pt idx="31" formatCode="0">
                  <c:v>2.3145132102786827</c:v>
                </c:pt>
                <c:pt idx="32" formatCode="0">
                  <c:v>2.476293883460007</c:v>
                </c:pt>
                <c:pt idx="33" formatCode="0">
                  <c:v>2.6471226927252989</c:v>
                </c:pt>
                <c:pt idx="34" formatCode="0">
                  <c:v>2.8261026582087223</c:v>
                </c:pt>
                <c:pt idx="35" formatCode="0">
                  <c:v>3.0137788536180357</c:v>
                </c:pt>
                <c:pt idx="36" formatCode="0">
                  <c:v>3.2102869985165268</c:v>
                </c:pt>
                <c:pt idx="37" formatCode="0">
                  <c:v>3.4157400642604561</c:v>
                </c:pt>
                <c:pt idx="38" formatCode="0">
                  <c:v>3.5893716767683808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SourceData!$BO$63</c:f>
              <c:strCache>
                <c:ptCount val="1"/>
                <c:pt idx="0">
                  <c:v>Burkina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SourceData!$BO$64:$BO$102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1.0770877944325481</c:v>
                </c:pt>
                <c:pt idx="2">
                  <c:v>1.1638115631691648</c:v>
                </c:pt>
                <c:pt idx="3">
                  <c:v>1.2558886509635974</c:v>
                </c:pt>
                <c:pt idx="4">
                  <c:v>1.354389721627409</c:v>
                </c:pt>
                <c:pt idx="5">
                  <c:v>1.4582441113490363</c:v>
                </c:pt>
                <c:pt idx="6">
                  <c:v>1.5695931477516061</c:v>
                </c:pt>
                <c:pt idx="7">
                  <c:v>1.6873661670235547</c:v>
                </c:pt>
                <c:pt idx="8">
                  <c:v>1.8137044967880085</c:v>
                </c:pt>
                <c:pt idx="9">
                  <c:v>1.9486081370449679</c:v>
                </c:pt>
                <c:pt idx="10">
                  <c:v>2.0910064239828694</c:v>
                </c:pt>
                <c:pt idx="11">
                  <c:v>2.2430406852248392</c:v>
                </c:pt>
                <c:pt idx="12">
                  <c:v>2.4057815845824413</c:v>
                </c:pt>
                <c:pt idx="13">
                  <c:v>2.5781584582441113</c:v>
                </c:pt>
                <c:pt idx="14">
                  <c:v>2.7614131729611859</c:v>
                </c:pt>
                <c:pt idx="15">
                  <c:v>2.9560418723454607</c:v>
                </c:pt>
                <c:pt idx="16">
                  <c:v>3.1626201863522918</c:v>
                </c:pt>
                <c:pt idx="17">
                  <c:v>3.3817432180050733</c:v>
                </c:pt>
                <c:pt idx="18">
                  <c:v>3.5938714003592294</c:v>
                </c:pt>
                <c:pt idx="20" formatCode="0">
                  <c:v>1</c:v>
                </c:pt>
                <c:pt idx="21" formatCode="0">
                  <c:v>1.0770877944325481</c:v>
                </c:pt>
                <c:pt idx="22" formatCode="0">
                  <c:v>1.1638115631691648</c:v>
                </c:pt>
                <c:pt idx="23" formatCode="0">
                  <c:v>1.2558886509635974</c:v>
                </c:pt>
                <c:pt idx="24" formatCode="0">
                  <c:v>1.3543897216274088</c:v>
                </c:pt>
                <c:pt idx="25" formatCode="0">
                  <c:v>1.4582441113490365</c:v>
                </c:pt>
                <c:pt idx="26" formatCode="0">
                  <c:v>1.5695931477516059</c:v>
                </c:pt>
                <c:pt idx="27" formatCode="0">
                  <c:v>1.6873661670235547</c:v>
                </c:pt>
                <c:pt idx="28" formatCode="0">
                  <c:v>1.8137044967880085</c:v>
                </c:pt>
                <c:pt idx="29" formatCode="0">
                  <c:v>1.9486081370449679</c:v>
                </c:pt>
                <c:pt idx="30" formatCode="0">
                  <c:v>2.0910064239828694</c:v>
                </c:pt>
                <c:pt idx="31" formatCode="0">
                  <c:v>2.2430406852248397</c:v>
                </c:pt>
                <c:pt idx="32" formatCode="0">
                  <c:v>2.4057815845824408</c:v>
                </c:pt>
                <c:pt idx="33" formatCode="0">
                  <c:v>2.5781584582441113</c:v>
                </c:pt>
                <c:pt idx="34" formatCode="0">
                  <c:v>2.7614131729611855</c:v>
                </c:pt>
                <c:pt idx="35" formatCode="0">
                  <c:v>2.9560418723454602</c:v>
                </c:pt>
                <c:pt idx="36" formatCode="0">
                  <c:v>3.1626201863522918</c:v>
                </c:pt>
                <c:pt idx="37" formatCode="0">
                  <c:v>3.3817432180050733</c:v>
                </c:pt>
                <c:pt idx="38" formatCode="0">
                  <c:v>3.5938714003592294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SourceData!$BP$63</c:f>
              <c:strCache>
                <c:ptCount val="1"/>
                <c:pt idx="0">
                  <c:v>Niger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SourceData!$BP$64:$BP$102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1.0712719298245614</c:v>
                </c:pt>
                <c:pt idx="2">
                  <c:v>1.1447368421052631</c:v>
                </c:pt>
                <c:pt idx="3">
                  <c:v>1.3541666666666667</c:v>
                </c:pt>
                <c:pt idx="4">
                  <c:v>1.4320175438596492</c:v>
                </c:pt>
                <c:pt idx="5">
                  <c:v>1.5120614035087718</c:v>
                </c:pt>
                <c:pt idx="6">
                  <c:v>1.5942982456140351</c:v>
                </c:pt>
                <c:pt idx="7">
                  <c:v>1.6776315789473684</c:v>
                </c:pt>
                <c:pt idx="8">
                  <c:v>1.7642543859649122</c:v>
                </c:pt>
                <c:pt idx="9">
                  <c:v>1.8541666666666667</c:v>
                </c:pt>
                <c:pt idx="10">
                  <c:v>1.9451754385964912</c:v>
                </c:pt>
                <c:pt idx="11">
                  <c:v>2.0394736842105261</c:v>
                </c:pt>
                <c:pt idx="12">
                  <c:v>2.1359649122807016</c:v>
                </c:pt>
                <c:pt idx="13">
                  <c:v>2.2357456140350878</c:v>
                </c:pt>
                <c:pt idx="14">
                  <c:v>2.3373144409012596</c:v>
                </c:pt>
                <c:pt idx="15">
                  <c:v>2.4410972877582733</c:v>
                </c:pt>
                <c:pt idx="16">
                  <c:v>2.5469815860116367</c:v>
                </c:pt>
                <c:pt idx="17">
                  <c:v>2.6548431791522571</c:v>
                </c:pt>
                <c:pt idx="18">
                  <c:v>2.7374573959213322</c:v>
                </c:pt>
                <c:pt idx="20" formatCode="0">
                  <c:v>1</c:v>
                </c:pt>
                <c:pt idx="21" formatCode="0">
                  <c:v>1.0712719298245614</c:v>
                </c:pt>
                <c:pt idx="22" formatCode="0">
                  <c:v>1.1447368421052631</c:v>
                </c:pt>
                <c:pt idx="23" formatCode="0">
                  <c:v>1.3541666666666667</c:v>
                </c:pt>
                <c:pt idx="24" formatCode="0">
                  <c:v>1.4320175438596492</c:v>
                </c:pt>
                <c:pt idx="25" formatCode="0">
                  <c:v>1.5120614035087718</c:v>
                </c:pt>
                <c:pt idx="26" formatCode="0">
                  <c:v>1.5942982456140349</c:v>
                </c:pt>
                <c:pt idx="27" formatCode="0">
                  <c:v>1.6776315789473684</c:v>
                </c:pt>
                <c:pt idx="28" formatCode="0">
                  <c:v>1.7642543859649122</c:v>
                </c:pt>
                <c:pt idx="29" formatCode="0">
                  <c:v>1.8541666666666667</c:v>
                </c:pt>
                <c:pt idx="30" formatCode="0">
                  <c:v>1.9451754385964912</c:v>
                </c:pt>
                <c:pt idx="31" formatCode="0">
                  <c:v>2.0394736842105265</c:v>
                </c:pt>
                <c:pt idx="32" formatCode="0">
                  <c:v>2.1359649122807016</c:v>
                </c:pt>
                <c:pt idx="33" formatCode="0">
                  <c:v>2.2357456140350878</c:v>
                </c:pt>
                <c:pt idx="34" formatCode="0">
                  <c:v>2.3373144409012596</c:v>
                </c:pt>
                <c:pt idx="35" formatCode="0">
                  <c:v>2.4410972877582728</c:v>
                </c:pt>
                <c:pt idx="36" formatCode="0">
                  <c:v>2.5469815860116367</c:v>
                </c:pt>
                <c:pt idx="37" formatCode="0">
                  <c:v>2.6548431791522571</c:v>
                </c:pt>
                <c:pt idx="38" formatCode="0">
                  <c:v>2.7374573959213317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SourceData!$BQ$63</c:f>
              <c:strCache>
                <c:ptCount val="1"/>
                <c:pt idx="0">
                  <c:v>Nigeria</c:v>
                </c:pt>
              </c:strCache>
            </c:strRef>
          </c:tx>
          <c:marker>
            <c:symbol val="none"/>
          </c:marker>
          <c:cat>
            <c:multiLvlStrRef>
              <c:f>SourceData!$BC$64:$BD$102</c:f>
              <c:multiLvlStrCache>
                <c:ptCount val="3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  <c:pt idx="13">
                    <c:v>2025</c:v>
                  </c:pt>
                  <c:pt idx="14">
                    <c:v>2026</c:v>
                  </c:pt>
                  <c:pt idx="15">
                    <c:v>2027</c:v>
                  </c:pt>
                  <c:pt idx="16">
                    <c:v>2028</c:v>
                  </c:pt>
                  <c:pt idx="17">
                    <c:v>2029</c:v>
                  </c:pt>
                  <c:pt idx="18">
                    <c:v>2030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1">
                    <c:v>2023</c:v>
                  </c:pt>
                  <c:pt idx="32">
                    <c:v>2024</c:v>
                  </c:pt>
                  <c:pt idx="33">
                    <c:v>2025</c:v>
                  </c:pt>
                  <c:pt idx="34">
                    <c:v>2026</c:v>
                  </c:pt>
                  <c:pt idx="35">
                    <c:v>2027</c:v>
                  </c:pt>
                  <c:pt idx="36">
                    <c:v>2028</c:v>
                  </c:pt>
                  <c:pt idx="37">
                    <c:v>2029</c:v>
                  </c:pt>
                  <c:pt idx="38">
                    <c:v>2030</c:v>
                  </c:pt>
                </c:lvl>
                <c:lvl>
                  <c:pt idx="0">
                    <c:v>Excluding Mining Projects</c:v>
                  </c:pt>
                  <c:pt idx="20">
                    <c:v>Including Mining Projects</c:v>
                  </c:pt>
                </c:lvl>
              </c:multiLvlStrCache>
            </c:multiLvlStrRef>
          </c:cat>
          <c:val>
            <c:numRef>
              <c:f>SourceData!$BQ$64:$BQ$102</c:f>
              <c:numCache>
                <c:formatCode>0.0</c:formatCode>
                <c:ptCount val="39"/>
                <c:pt idx="0" formatCode="General">
                  <c:v>1</c:v>
                </c:pt>
                <c:pt idx="1">
                  <c:v>1.0560023420413647</c:v>
                </c:pt>
                <c:pt idx="2">
                  <c:v>1.1187380530059068</c:v>
                </c:pt>
                <c:pt idx="3">
                  <c:v>1.1853140229726704</c:v>
                </c:pt>
                <c:pt idx="4">
                  <c:v>1.2558507981883622</c:v>
                </c:pt>
                <c:pt idx="5">
                  <c:v>1.3304517040073016</c:v>
                </c:pt>
                <c:pt idx="6">
                  <c:v>1.4096333672010883</c:v>
                </c:pt>
                <c:pt idx="7">
                  <c:v>1.4933441250925623</c:v>
                </c:pt>
                <c:pt idx="8">
                  <c:v>1.5821350462380961</c:v>
                </c:pt>
                <c:pt idx="9">
                  <c:v>1.7002531471180837</c:v>
                </c:pt>
                <c:pt idx="10">
                  <c:v>1.8013742272124542</c:v>
                </c:pt>
                <c:pt idx="11">
                  <c:v>1.9084365151802167</c:v>
                </c:pt>
                <c:pt idx="12">
                  <c:v>2.021939416900584</c:v>
                </c:pt>
                <c:pt idx="13">
                  <c:v>2.1421584666517419</c:v>
                </c:pt>
                <c:pt idx="14">
                  <c:v>2.2565054691075015</c:v>
                </c:pt>
                <c:pt idx="15">
                  <c:v>2.3700964469065653</c:v>
                </c:pt>
                <c:pt idx="16">
                  <c:v>2.4822004092561825</c:v>
                </c:pt>
                <c:pt idx="17">
                  <c:v>2.5920609071698144</c:v>
                </c:pt>
                <c:pt idx="18">
                  <c:v>2.6215772914258793</c:v>
                </c:pt>
                <c:pt idx="20" formatCode="0">
                  <c:v>1</c:v>
                </c:pt>
                <c:pt idx="21" formatCode="0">
                  <c:v>1.0560023420413645</c:v>
                </c:pt>
                <c:pt idx="22" formatCode="0">
                  <c:v>1.1187380530059068</c:v>
                </c:pt>
                <c:pt idx="23" formatCode="0">
                  <c:v>1.1853140229726704</c:v>
                </c:pt>
                <c:pt idx="24" formatCode="0">
                  <c:v>1.2558507981883622</c:v>
                </c:pt>
                <c:pt idx="25" formatCode="0">
                  <c:v>1.3304517040073016</c:v>
                </c:pt>
                <c:pt idx="26" formatCode="0">
                  <c:v>1.4096333672010881</c:v>
                </c:pt>
                <c:pt idx="27" formatCode="0">
                  <c:v>1.4933441250925623</c:v>
                </c:pt>
                <c:pt idx="28" formatCode="0">
                  <c:v>1.5821350462380961</c:v>
                </c:pt>
                <c:pt idx="29" formatCode="0">
                  <c:v>1.7002531471180835</c:v>
                </c:pt>
                <c:pt idx="30" formatCode="0">
                  <c:v>1.801374227212454</c:v>
                </c:pt>
                <c:pt idx="31" formatCode="0">
                  <c:v>1.9084365151802165</c:v>
                </c:pt>
                <c:pt idx="32" formatCode="0">
                  <c:v>2.021939416900584</c:v>
                </c:pt>
                <c:pt idx="33" formatCode="0">
                  <c:v>2.1421584666517419</c:v>
                </c:pt>
                <c:pt idx="34" formatCode="0">
                  <c:v>2.2565054691075015</c:v>
                </c:pt>
                <c:pt idx="35" formatCode="0">
                  <c:v>2.3700964469065653</c:v>
                </c:pt>
                <c:pt idx="36" formatCode="0">
                  <c:v>2.482200409256182</c:v>
                </c:pt>
                <c:pt idx="37" formatCode="0">
                  <c:v>2.592060907169814</c:v>
                </c:pt>
                <c:pt idx="38" formatCode="0">
                  <c:v>2.6215772914258793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2560"/>
        <c:axId val="175524096"/>
      </c:lineChart>
      <c:catAx>
        <c:axId val="175522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5524096"/>
        <c:crosses val="autoZero"/>
        <c:auto val="1"/>
        <c:lblAlgn val="ctr"/>
        <c:lblOffset val="100"/>
        <c:noMultiLvlLbl val="0"/>
      </c:catAx>
      <c:valAx>
        <c:axId val="17552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2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0"/>
          <c:order val="0"/>
          <c:tx>
            <c:strRef>
              <c:f>SourceData!$CC$4</c:f>
              <c:strCache>
                <c:ptCount val="1"/>
                <c:pt idx="0">
                  <c:v>Togo/Benin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SourceData!$CC$5:$CC$25</c:f>
              <c:numCache>
                <c:formatCode>#,##0</c:formatCode>
                <c:ptCount val="21"/>
                <c:pt idx="0">
                  <c:v>2083</c:v>
                </c:pt>
                <c:pt idx="1">
                  <c:v>2383</c:v>
                </c:pt>
                <c:pt idx="2">
                  <c:v>2763</c:v>
                </c:pt>
                <c:pt idx="3">
                  <c:v>3004</c:v>
                </c:pt>
                <c:pt idx="4">
                  <c:v>3268</c:v>
                </c:pt>
                <c:pt idx="5">
                  <c:v>3547</c:v>
                </c:pt>
                <c:pt idx="6">
                  <c:v>3841</c:v>
                </c:pt>
                <c:pt idx="7">
                  <c:v>4151</c:v>
                </c:pt>
                <c:pt idx="8">
                  <c:v>4478</c:v>
                </c:pt>
                <c:pt idx="9">
                  <c:v>4822</c:v>
                </c:pt>
                <c:pt idx="10">
                  <c:v>5185</c:v>
                </c:pt>
                <c:pt idx="11">
                  <c:v>5567</c:v>
                </c:pt>
                <c:pt idx="12">
                  <c:v>5971</c:v>
                </c:pt>
                <c:pt idx="13">
                  <c:v>6395</c:v>
                </c:pt>
                <c:pt idx="14">
                  <c:v>6842</c:v>
                </c:pt>
                <c:pt idx="15">
                  <c:v>7314</c:v>
                </c:pt>
                <c:pt idx="16">
                  <c:v>7808.5216446306986</c:v>
                </c:pt>
                <c:pt idx="17">
                  <c:v>8327.0709725466331</c:v>
                </c:pt>
                <c:pt idx="18">
                  <c:v>8870.0229769011639</c:v>
                </c:pt>
                <c:pt idx="19">
                  <c:v>9437.6897975516404</c:v>
                </c:pt>
                <c:pt idx="20">
                  <c:v>9917.433942911035</c:v>
                </c:pt>
              </c:numCache>
            </c:numRef>
          </c:val>
        </c:ser>
        <c:ser>
          <c:idx val="5"/>
          <c:order val="1"/>
          <c:tx>
            <c:strRef>
              <c:f>SourceData!$BX$4</c:f>
              <c:strCache>
                <c:ptCount val="1"/>
                <c:pt idx="0">
                  <c:v>Sierra Leone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SourceData!$BX$5:$BX$25</c:f>
              <c:numCache>
                <c:formatCode>#,##0</c:formatCode>
                <c:ptCount val="21"/>
                <c:pt idx="0">
                  <c:v>162</c:v>
                </c:pt>
                <c:pt idx="1">
                  <c:v>552</c:v>
                </c:pt>
                <c:pt idx="2">
                  <c:v>617</c:v>
                </c:pt>
                <c:pt idx="3">
                  <c:v>994</c:v>
                </c:pt>
                <c:pt idx="4">
                  <c:v>1397</c:v>
                </c:pt>
                <c:pt idx="5">
                  <c:v>1498</c:v>
                </c:pt>
                <c:pt idx="6">
                  <c:v>2327</c:v>
                </c:pt>
                <c:pt idx="7">
                  <c:v>3102</c:v>
                </c:pt>
                <c:pt idx="8">
                  <c:v>3841</c:v>
                </c:pt>
                <c:pt idx="9">
                  <c:v>5003</c:v>
                </c:pt>
                <c:pt idx="10">
                  <c:v>6163</c:v>
                </c:pt>
                <c:pt idx="11">
                  <c:v>6213</c:v>
                </c:pt>
                <c:pt idx="12">
                  <c:v>6263</c:v>
                </c:pt>
                <c:pt idx="13">
                  <c:v>6313</c:v>
                </c:pt>
                <c:pt idx="14">
                  <c:v>6363</c:v>
                </c:pt>
                <c:pt idx="15">
                  <c:v>6413</c:v>
                </c:pt>
                <c:pt idx="16">
                  <c:v>6462.398880004208</c:v>
                </c:pt>
                <c:pt idx="17">
                  <c:v>6511.0613206645858</c:v>
                </c:pt>
                <c:pt idx="18">
                  <c:v>6558.7263170705974</c:v>
                </c:pt>
                <c:pt idx="19">
                  <c:v>6605.1287786096609</c:v>
                </c:pt>
                <c:pt idx="20">
                  <c:v>6618.6461269279116</c:v>
                </c:pt>
              </c:numCache>
            </c:numRef>
          </c:val>
        </c:ser>
        <c:ser>
          <c:idx val="1"/>
          <c:order val="2"/>
          <c:tx>
            <c:strRef>
              <c:f>SourceData!$BT$4</c:f>
              <c:strCache>
                <c:ptCount val="1"/>
                <c:pt idx="0">
                  <c:v>Senegal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SourceData!$BT$5:$BT$25</c:f>
              <c:numCache>
                <c:formatCode>#,##0</c:formatCode>
                <c:ptCount val="21"/>
                <c:pt idx="0">
                  <c:v>2494</c:v>
                </c:pt>
                <c:pt idx="1">
                  <c:v>2654</c:v>
                </c:pt>
                <c:pt idx="2">
                  <c:v>2991</c:v>
                </c:pt>
                <c:pt idx="3">
                  <c:v>3147</c:v>
                </c:pt>
                <c:pt idx="4">
                  <c:v>3319</c:v>
                </c:pt>
                <c:pt idx="5">
                  <c:v>3744</c:v>
                </c:pt>
                <c:pt idx="6">
                  <c:v>4311</c:v>
                </c:pt>
                <c:pt idx="7">
                  <c:v>4536</c:v>
                </c:pt>
                <c:pt idx="8">
                  <c:v>4774</c:v>
                </c:pt>
                <c:pt idx="9">
                  <c:v>5026</c:v>
                </c:pt>
                <c:pt idx="10">
                  <c:v>5306</c:v>
                </c:pt>
                <c:pt idx="11">
                  <c:v>5624</c:v>
                </c:pt>
                <c:pt idx="12">
                  <c:v>5933</c:v>
                </c:pt>
                <c:pt idx="13">
                  <c:v>6261</c:v>
                </c:pt>
                <c:pt idx="14">
                  <c:v>6611</c:v>
                </c:pt>
                <c:pt idx="15">
                  <c:v>6983</c:v>
                </c:pt>
                <c:pt idx="16">
                  <c:v>7363.9667765016848</c:v>
                </c:pt>
                <c:pt idx="17">
                  <c:v>7761.0297335743562</c:v>
                </c:pt>
                <c:pt idx="18">
                  <c:v>8174.5614722078517</c:v>
                </c:pt>
                <c:pt idx="19">
                  <c:v>8604.923468627363</c:v>
                </c:pt>
                <c:pt idx="20">
                  <c:v>8997.8996347244702</c:v>
                </c:pt>
              </c:numCache>
            </c:numRef>
          </c:val>
        </c:ser>
        <c:ser>
          <c:idx val="13"/>
          <c:order val="3"/>
          <c:tx>
            <c:strRef>
              <c:f>SourceData!$CF$4</c:f>
              <c:strCache>
                <c:ptCount val="1"/>
                <c:pt idx="0">
                  <c:v>Nigeria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SourceData!$CF$5:$CF$25</c:f>
              <c:numCache>
                <c:formatCode>#,##0</c:formatCode>
                <c:ptCount val="21"/>
                <c:pt idx="0">
                  <c:v>23178.5</c:v>
                </c:pt>
                <c:pt idx="1">
                  <c:v>39102</c:v>
                </c:pt>
                <c:pt idx="2">
                  <c:v>58069</c:v>
                </c:pt>
                <c:pt idx="3">
                  <c:v>61321</c:v>
                </c:pt>
                <c:pt idx="4">
                  <c:v>64964</c:v>
                </c:pt>
                <c:pt idx="5">
                  <c:v>68830</c:v>
                </c:pt>
                <c:pt idx="6">
                  <c:v>72926</c:v>
                </c:pt>
                <c:pt idx="7">
                  <c:v>77258</c:v>
                </c:pt>
                <c:pt idx="8">
                  <c:v>81856</c:v>
                </c:pt>
                <c:pt idx="9">
                  <c:v>86717</c:v>
                </c:pt>
                <c:pt idx="10">
                  <c:v>91873</c:v>
                </c:pt>
                <c:pt idx="11">
                  <c:v>98732</c:v>
                </c:pt>
                <c:pt idx="12">
                  <c:v>104604</c:v>
                </c:pt>
                <c:pt idx="13">
                  <c:v>110821</c:v>
                </c:pt>
                <c:pt idx="14">
                  <c:v>117412</c:v>
                </c:pt>
                <c:pt idx="15">
                  <c:v>124393</c:v>
                </c:pt>
                <c:pt idx="16">
                  <c:v>131033.01608560351</c:v>
                </c:pt>
                <c:pt idx="17">
                  <c:v>137629.13057541734</c:v>
                </c:pt>
                <c:pt idx="18">
                  <c:v>144138.89556509725</c:v>
                </c:pt>
                <c:pt idx="19">
                  <c:v>150518.38481844394</c:v>
                </c:pt>
                <c:pt idx="20">
                  <c:v>152232.37173580937</c:v>
                </c:pt>
              </c:numCache>
            </c:numRef>
          </c:val>
        </c:ser>
        <c:ser>
          <c:idx val="12"/>
          <c:order val="4"/>
          <c:tx>
            <c:strRef>
              <c:f>SourceData!$CE$4</c:f>
              <c:strCache>
                <c:ptCount val="1"/>
                <c:pt idx="0">
                  <c:v>Niger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SourceData!$CE$5:$CE$25</c:f>
              <c:numCache>
                <c:formatCode>#,##0</c:formatCode>
                <c:ptCount val="21"/>
                <c:pt idx="0">
                  <c:v>835</c:v>
                </c:pt>
                <c:pt idx="1">
                  <c:v>849</c:v>
                </c:pt>
                <c:pt idx="2">
                  <c:v>912</c:v>
                </c:pt>
                <c:pt idx="3">
                  <c:v>977</c:v>
                </c:pt>
                <c:pt idx="4">
                  <c:v>1044</c:v>
                </c:pt>
                <c:pt idx="5">
                  <c:v>1235</c:v>
                </c:pt>
                <c:pt idx="6">
                  <c:v>1306</c:v>
                </c:pt>
                <c:pt idx="7">
                  <c:v>1379</c:v>
                </c:pt>
                <c:pt idx="8">
                  <c:v>1454</c:v>
                </c:pt>
                <c:pt idx="9">
                  <c:v>1530</c:v>
                </c:pt>
                <c:pt idx="10">
                  <c:v>1609</c:v>
                </c:pt>
                <c:pt idx="11">
                  <c:v>1691</c:v>
                </c:pt>
                <c:pt idx="12">
                  <c:v>1774</c:v>
                </c:pt>
                <c:pt idx="13">
                  <c:v>1860</c:v>
                </c:pt>
                <c:pt idx="14">
                  <c:v>1948</c:v>
                </c:pt>
                <c:pt idx="15">
                  <c:v>2039</c:v>
                </c:pt>
                <c:pt idx="16">
                  <c:v>2131.6307701019487</c:v>
                </c:pt>
                <c:pt idx="17">
                  <c:v>2226.2807264355451</c:v>
                </c:pt>
                <c:pt idx="18">
                  <c:v>2322.8472064426128</c:v>
                </c:pt>
                <c:pt idx="19">
                  <c:v>2421.2169793868584</c:v>
                </c:pt>
                <c:pt idx="20">
                  <c:v>2496.5611450802548</c:v>
                </c:pt>
              </c:numCache>
            </c:numRef>
          </c:val>
        </c:ser>
        <c:ser>
          <c:idx val="7"/>
          <c:order val="5"/>
          <c:tx>
            <c:strRef>
              <c:f>SourceData!$BZ$4</c:f>
              <c:strCache>
                <c:ptCount val="1"/>
                <c:pt idx="0">
                  <c:v>Mali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SourceData!$BZ$5:$BZ$25</c:f>
              <c:numCache>
                <c:formatCode>#,##0</c:formatCode>
                <c:ptCount val="21"/>
                <c:pt idx="0">
                  <c:v>1098</c:v>
                </c:pt>
                <c:pt idx="1">
                  <c:v>1136</c:v>
                </c:pt>
                <c:pt idx="2">
                  <c:v>1232</c:v>
                </c:pt>
                <c:pt idx="3">
                  <c:v>1382</c:v>
                </c:pt>
                <c:pt idx="4">
                  <c:v>2111</c:v>
                </c:pt>
                <c:pt idx="5">
                  <c:v>2226</c:v>
                </c:pt>
                <c:pt idx="6">
                  <c:v>2896</c:v>
                </c:pt>
                <c:pt idx="7">
                  <c:v>2997</c:v>
                </c:pt>
                <c:pt idx="8">
                  <c:v>3153</c:v>
                </c:pt>
                <c:pt idx="9">
                  <c:v>3248</c:v>
                </c:pt>
                <c:pt idx="10">
                  <c:v>3398</c:v>
                </c:pt>
                <c:pt idx="11">
                  <c:v>3567</c:v>
                </c:pt>
                <c:pt idx="12">
                  <c:v>3740</c:v>
                </c:pt>
                <c:pt idx="13">
                  <c:v>3916</c:v>
                </c:pt>
                <c:pt idx="14">
                  <c:v>4097</c:v>
                </c:pt>
                <c:pt idx="15">
                  <c:v>4282</c:v>
                </c:pt>
                <c:pt idx="16">
                  <c:v>4469.9883861688186</c:v>
                </c:pt>
                <c:pt idx="17">
                  <c:v>4661.116261861167</c:v>
                </c:pt>
                <c:pt idx="18">
                  <c:v>4855.0841640052022</c:v>
                </c:pt>
                <c:pt idx="19">
                  <c:v>5051.5697356988667</c:v>
                </c:pt>
                <c:pt idx="20">
                  <c:v>5192.8502600433521</c:v>
                </c:pt>
              </c:numCache>
            </c:numRef>
          </c:val>
        </c:ser>
        <c:ser>
          <c:idx val="6"/>
          <c:order val="6"/>
          <c:tx>
            <c:strRef>
              <c:f>SourceData!$BY$4</c:f>
              <c:strCache>
                <c:ptCount val="1"/>
                <c:pt idx="0">
                  <c:v>Liberia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SourceData!$BY$5:$BY$25</c:f>
              <c:numCache>
                <c:formatCode>#,##0</c:formatCode>
                <c:ptCount val="21"/>
                <c:pt idx="0">
                  <c:v>34</c:v>
                </c:pt>
                <c:pt idx="1">
                  <c:v>47</c:v>
                </c:pt>
                <c:pt idx="2">
                  <c:v>138</c:v>
                </c:pt>
                <c:pt idx="3">
                  <c:v>294</c:v>
                </c:pt>
                <c:pt idx="4">
                  <c:v>883</c:v>
                </c:pt>
                <c:pt idx="5">
                  <c:v>1446</c:v>
                </c:pt>
                <c:pt idx="6">
                  <c:v>2119</c:v>
                </c:pt>
                <c:pt idx="7">
                  <c:v>2136</c:v>
                </c:pt>
                <c:pt idx="8">
                  <c:v>2154</c:v>
                </c:pt>
                <c:pt idx="9">
                  <c:v>2174</c:v>
                </c:pt>
                <c:pt idx="10">
                  <c:v>2195</c:v>
                </c:pt>
                <c:pt idx="11">
                  <c:v>2218</c:v>
                </c:pt>
                <c:pt idx="12">
                  <c:v>2242</c:v>
                </c:pt>
                <c:pt idx="13">
                  <c:v>2268</c:v>
                </c:pt>
                <c:pt idx="14">
                  <c:v>2295</c:v>
                </c:pt>
                <c:pt idx="15">
                  <c:v>2324</c:v>
                </c:pt>
                <c:pt idx="16">
                  <c:v>2354.4397172332169</c:v>
                </c:pt>
                <c:pt idx="17">
                  <c:v>2386.5519709737282</c:v>
                </c:pt>
                <c:pt idx="18">
                  <c:v>2420.4117534904494</c:v>
                </c:pt>
                <c:pt idx="19">
                  <c:v>2456.0963085230437</c:v>
                </c:pt>
                <c:pt idx="20">
                  <c:v>2490.7967109315605</c:v>
                </c:pt>
              </c:numCache>
            </c:numRef>
          </c:val>
        </c:ser>
        <c:ser>
          <c:idx val="3"/>
          <c:order val="7"/>
          <c:tx>
            <c:strRef>
              <c:f>SourceData!$BV$4</c:f>
              <c:strCache>
                <c:ptCount val="1"/>
                <c:pt idx="0">
                  <c:v>Guinée Bissau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SourceData!$BV$5:$BV$25</c:f>
              <c:numCache>
                <c:formatCode>#,##0</c:formatCode>
                <c:ptCount val="21"/>
                <c:pt idx="0">
                  <c:v>141</c:v>
                </c:pt>
                <c:pt idx="1">
                  <c:v>141</c:v>
                </c:pt>
                <c:pt idx="2">
                  <c:v>149</c:v>
                </c:pt>
                <c:pt idx="3">
                  <c:v>157</c:v>
                </c:pt>
                <c:pt idx="4">
                  <c:v>167</c:v>
                </c:pt>
                <c:pt idx="5">
                  <c:v>176</c:v>
                </c:pt>
                <c:pt idx="6">
                  <c:v>538</c:v>
                </c:pt>
                <c:pt idx="7">
                  <c:v>584</c:v>
                </c:pt>
                <c:pt idx="8">
                  <c:v>632</c:v>
                </c:pt>
                <c:pt idx="9">
                  <c:v>683</c:v>
                </c:pt>
                <c:pt idx="10">
                  <c:v>1086</c:v>
                </c:pt>
                <c:pt idx="11">
                  <c:v>1142</c:v>
                </c:pt>
                <c:pt idx="12">
                  <c:v>1166</c:v>
                </c:pt>
                <c:pt idx="13">
                  <c:v>1192</c:v>
                </c:pt>
                <c:pt idx="14">
                  <c:v>1218</c:v>
                </c:pt>
                <c:pt idx="15">
                  <c:v>1246</c:v>
                </c:pt>
                <c:pt idx="16">
                  <c:v>1275.1162442672296</c:v>
                </c:pt>
                <c:pt idx="17">
                  <c:v>1305.5726923991951</c:v>
                </c:pt>
                <c:pt idx="18">
                  <c:v>1337.4180996526406</c:v>
                </c:pt>
                <c:pt idx="19">
                  <c:v>1370.702263293429</c:v>
                </c:pt>
                <c:pt idx="20">
                  <c:v>1402.9702244465379</c:v>
                </c:pt>
              </c:numCache>
            </c:numRef>
          </c:val>
        </c:ser>
        <c:ser>
          <c:idx val="4"/>
          <c:order val="8"/>
          <c:tx>
            <c:strRef>
              <c:f>SourceData!$BW$4</c:f>
              <c:strCache>
                <c:ptCount val="1"/>
                <c:pt idx="0">
                  <c:v>Guinea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SourceData!$BW$5:$BW$25</c:f>
              <c:numCache>
                <c:formatCode>#,##0</c:formatCode>
                <c:ptCount val="21"/>
                <c:pt idx="0">
                  <c:v>608</c:v>
                </c:pt>
                <c:pt idx="1">
                  <c:v>608</c:v>
                </c:pt>
                <c:pt idx="2">
                  <c:v>760</c:v>
                </c:pt>
                <c:pt idx="3">
                  <c:v>934</c:v>
                </c:pt>
                <c:pt idx="4">
                  <c:v>1102</c:v>
                </c:pt>
                <c:pt idx="5">
                  <c:v>1563</c:v>
                </c:pt>
                <c:pt idx="6">
                  <c:v>4361</c:v>
                </c:pt>
                <c:pt idx="7">
                  <c:v>4448</c:v>
                </c:pt>
                <c:pt idx="8">
                  <c:v>4542</c:v>
                </c:pt>
                <c:pt idx="9">
                  <c:v>6739</c:v>
                </c:pt>
                <c:pt idx="10">
                  <c:v>6873</c:v>
                </c:pt>
                <c:pt idx="11">
                  <c:v>7043</c:v>
                </c:pt>
                <c:pt idx="12">
                  <c:v>7187</c:v>
                </c:pt>
                <c:pt idx="13">
                  <c:v>7332</c:v>
                </c:pt>
                <c:pt idx="14">
                  <c:v>7477</c:v>
                </c:pt>
                <c:pt idx="15">
                  <c:v>7626</c:v>
                </c:pt>
                <c:pt idx="16">
                  <c:v>7769.4989765632827</c:v>
                </c:pt>
                <c:pt idx="17">
                  <c:v>7915.4914348685015</c:v>
                </c:pt>
                <c:pt idx="18">
                  <c:v>8061.2324971072658</c:v>
                </c:pt>
                <c:pt idx="19">
                  <c:v>8206.2314025736669</c:v>
                </c:pt>
                <c:pt idx="20">
                  <c:v>8323.4636177314733</c:v>
                </c:pt>
              </c:numCache>
            </c:numRef>
          </c:val>
        </c:ser>
        <c:ser>
          <c:idx val="9"/>
          <c:order val="9"/>
          <c:tx>
            <c:strRef>
              <c:f>SourceData!$CB$4</c:f>
              <c:strCache>
                <c:ptCount val="1"/>
                <c:pt idx="0">
                  <c:v>Ghana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SourceData!$CB$5:$CB$25</c:f>
              <c:numCache>
                <c:formatCode>#,##0</c:formatCode>
                <c:ptCount val="21"/>
                <c:pt idx="0">
                  <c:v>9022</c:v>
                </c:pt>
                <c:pt idx="1">
                  <c:v>11107</c:v>
                </c:pt>
                <c:pt idx="2">
                  <c:v>11735</c:v>
                </c:pt>
                <c:pt idx="3">
                  <c:v>13064</c:v>
                </c:pt>
                <c:pt idx="4">
                  <c:v>13735</c:v>
                </c:pt>
                <c:pt idx="5">
                  <c:v>14455</c:v>
                </c:pt>
                <c:pt idx="6">
                  <c:v>15223</c:v>
                </c:pt>
                <c:pt idx="7">
                  <c:v>16041</c:v>
                </c:pt>
                <c:pt idx="8">
                  <c:v>16912</c:v>
                </c:pt>
                <c:pt idx="9">
                  <c:v>17840</c:v>
                </c:pt>
                <c:pt idx="10">
                  <c:v>18828</c:v>
                </c:pt>
                <c:pt idx="11">
                  <c:v>19879</c:v>
                </c:pt>
                <c:pt idx="12">
                  <c:v>20998</c:v>
                </c:pt>
                <c:pt idx="13">
                  <c:v>22189</c:v>
                </c:pt>
                <c:pt idx="14">
                  <c:v>23456</c:v>
                </c:pt>
                <c:pt idx="15">
                  <c:v>24803</c:v>
                </c:pt>
                <c:pt idx="16">
                  <c:v>26237.320885897389</c:v>
                </c:pt>
                <c:pt idx="17">
                  <c:v>27763.869366979143</c:v>
                </c:pt>
                <c:pt idx="18">
                  <c:v>29388.70630212472</c:v>
                </c:pt>
                <c:pt idx="19">
                  <c:v>31118.299089882574</c:v>
                </c:pt>
                <c:pt idx="20">
                  <c:v>32985.058998366512</c:v>
                </c:pt>
              </c:numCache>
            </c:numRef>
          </c:val>
        </c:ser>
        <c:ser>
          <c:idx val="2"/>
          <c:order val="10"/>
          <c:tx>
            <c:strRef>
              <c:f>SourceData!$BU$4</c:f>
              <c:strCache>
                <c:ptCount val="1"/>
                <c:pt idx="0">
                  <c:v>Gambia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SourceData!$BU$5:$BU$25</c:f>
              <c:numCache>
                <c:formatCode>#,##0</c:formatCode>
                <c:ptCount val="21"/>
                <c:pt idx="0">
                  <c:v>219</c:v>
                </c:pt>
                <c:pt idx="1">
                  <c:v>239</c:v>
                </c:pt>
                <c:pt idx="2">
                  <c:v>337</c:v>
                </c:pt>
                <c:pt idx="3">
                  <c:v>414</c:v>
                </c:pt>
                <c:pt idx="4">
                  <c:v>496</c:v>
                </c:pt>
                <c:pt idx="5">
                  <c:v>586</c:v>
                </c:pt>
                <c:pt idx="6">
                  <c:v>747</c:v>
                </c:pt>
                <c:pt idx="7">
                  <c:v>771</c:v>
                </c:pt>
                <c:pt idx="8">
                  <c:v>796</c:v>
                </c:pt>
                <c:pt idx="9">
                  <c:v>821</c:v>
                </c:pt>
                <c:pt idx="10">
                  <c:v>847</c:v>
                </c:pt>
                <c:pt idx="11">
                  <c:v>879</c:v>
                </c:pt>
                <c:pt idx="12">
                  <c:v>912</c:v>
                </c:pt>
                <c:pt idx="13">
                  <c:v>945</c:v>
                </c:pt>
                <c:pt idx="14">
                  <c:v>980</c:v>
                </c:pt>
                <c:pt idx="15">
                  <c:v>1017</c:v>
                </c:pt>
                <c:pt idx="16">
                  <c:v>1054.7235967412528</c:v>
                </c:pt>
                <c:pt idx="17">
                  <c:v>1093.7878092003671</c:v>
                </c:pt>
                <c:pt idx="18">
                  <c:v>1134.2380191677348</c:v>
                </c:pt>
                <c:pt idx="19">
                  <c:v>1176.1210605037484</c:v>
                </c:pt>
                <c:pt idx="20">
                  <c:v>1218.8313040604082</c:v>
                </c:pt>
              </c:numCache>
            </c:numRef>
          </c:val>
        </c:ser>
        <c:ser>
          <c:idx val="8"/>
          <c:order val="11"/>
          <c:tx>
            <c:strRef>
              <c:f>SourceData!$CA$4</c:f>
              <c:strCache>
                <c:ptCount val="1"/>
                <c:pt idx="0">
                  <c:v>Ivory Coast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SourceData!$CA$5:$CA$25</c:f>
              <c:numCache>
                <c:formatCode>#,##0</c:formatCode>
                <c:ptCount val="21"/>
                <c:pt idx="0">
                  <c:v>5813.5</c:v>
                </c:pt>
                <c:pt idx="1">
                  <c:v>6005</c:v>
                </c:pt>
                <c:pt idx="2">
                  <c:v>6390</c:v>
                </c:pt>
                <c:pt idx="3">
                  <c:v>6799</c:v>
                </c:pt>
                <c:pt idx="4">
                  <c:v>7245</c:v>
                </c:pt>
                <c:pt idx="5">
                  <c:v>7731</c:v>
                </c:pt>
                <c:pt idx="6">
                  <c:v>8197</c:v>
                </c:pt>
                <c:pt idx="7">
                  <c:v>8680</c:v>
                </c:pt>
                <c:pt idx="8">
                  <c:v>9182</c:v>
                </c:pt>
                <c:pt idx="9">
                  <c:v>9703</c:v>
                </c:pt>
                <c:pt idx="10">
                  <c:v>10244</c:v>
                </c:pt>
                <c:pt idx="11">
                  <c:v>10807</c:v>
                </c:pt>
                <c:pt idx="12">
                  <c:v>11391</c:v>
                </c:pt>
                <c:pt idx="13">
                  <c:v>11998</c:v>
                </c:pt>
                <c:pt idx="14">
                  <c:v>12628</c:v>
                </c:pt>
                <c:pt idx="15">
                  <c:v>13284</c:v>
                </c:pt>
                <c:pt idx="16">
                  <c:v>13962.58456487812</c:v>
                </c:pt>
                <c:pt idx="17">
                  <c:v>14665.288347550248</c:v>
                </c:pt>
                <c:pt idx="18">
                  <c:v>15392.282035289614</c:v>
                </c:pt>
                <c:pt idx="19">
                  <c:v>16143.690001937654</c:v>
                </c:pt>
                <c:pt idx="20">
                  <c:v>16798.236128311055</c:v>
                </c:pt>
              </c:numCache>
            </c:numRef>
          </c:val>
        </c:ser>
        <c:ser>
          <c:idx val="11"/>
          <c:order val="12"/>
          <c:tx>
            <c:strRef>
              <c:f>SourceData!$CD$4</c:f>
              <c:strCache>
                <c:ptCount val="1"/>
                <c:pt idx="0">
                  <c:v>Burkina</c:v>
                </c:pt>
              </c:strCache>
            </c:strRef>
          </c:tx>
          <c:cat>
            <c:numRef>
              <c:f>SourceData!$BS$5:$BS$25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SourceData!$CD$5:$CD$25</c:f>
              <c:numCache>
                <c:formatCode>#,##0</c:formatCode>
                <c:ptCount val="21"/>
                <c:pt idx="0">
                  <c:v>858.5</c:v>
                </c:pt>
                <c:pt idx="1">
                  <c:v>873</c:v>
                </c:pt>
                <c:pt idx="2">
                  <c:v>934</c:v>
                </c:pt>
                <c:pt idx="3">
                  <c:v>1006</c:v>
                </c:pt>
                <c:pt idx="4">
                  <c:v>1087</c:v>
                </c:pt>
                <c:pt idx="5">
                  <c:v>1173</c:v>
                </c:pt>
                <c:pt idx="6">
                  <c:v>1265</c:v>
                </c:pt>
                <c:pt idx="7">
                  <c:v>1362</c:v>
                </c:pt>
                <c:pt idx="8">
                  <c:v>1466</c:v>
                </c:pt>
                <c:pt idx="9">
                  <c:v>1576</c:v>
                </c:pt>
                <c:pt idx="10">
                  <c:v>1694</c:v>
                </c:pt>
                <c:pt idx="11">
                  <c:v>1820</c:v>
                </c:pt>
                <c:pt idx="12">
                  <c:v>1953</c:v>
                </c:pt>
                <c:pt idx="13">
                  <c:v>2095</c:v>
                </c:pt>
                <c:pt idx="14">
                  <c:v>2247</c:v>
                </c:pt>
                <c:pt idx="15">
                  <c:v>2408</c:v>
                </c:pt>
                <c:pt idx="16">
                  <c:v>2579.1599035457475</c:v>
                </c:pt>
                <c:pt idx="17">
                  <c:v>2760.9431087706603</c:v>
                </c:pt>
                <c:pt idx="18">
                  <c:v>2953.8872540530406</c:v>
                </c:pt>
                <c:pt idx="19">
                  <c:v>3158.5481656167385</c:v>
                </c:pt>
                <c:pt idx="20">
                  <c:v>3356.6758879355202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73664"/>
        <c:axId val="207159296"/>
      </c:areaChart>
      <c:catAx>
        <c:axId val="1762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159296"/>
        <c:crosses val="autoZero"/>
        <c:auto val="1"/>
        <c:lblAlgn val="ctr"/>
        <c:lblOffset val="100"/>
        <c:noMultiLvlLbl val="0"/>
      </c:catAx>
      <c:valAx>
        <c:axId val="20715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Secondary Electricity Deamdn (TWh)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7627366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3087880681581472"/>
          <c:y val="5.3509179529154217E-2"/>
          <c:w val="0.1564227804857726"/>
          <c:h val="0.9176729509615029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DemandBreakdown!$D$30</c:f>
              <c:strCache>
                <c:ptCount val="1"/>
                <c:pt idx="0">
                  <c:v>Heavy Industry*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DemandBreakdown!$BP$30:$CM$30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131</c:v>
                </c:pt>
                <c:pt idx="4">
                  <c:v>657</c:v>
                </c:pt>
                <c:pt idx="5">
                  <c:v>1183</c:v>
                </c:pt>
                <c:pt idx="6">
                  <c:v>1840</c:v>
                </c:pt>
                <c:pt idx="7">
                  <c:v>1840</c:v>
                </c:pt>
                <c:pt idx="8">
                  <c:v>1840</c:v>
                </c:pt>
                <c:pt idx="9">
                  <c:v>1840</c:v>
                </c:pt>
                <c:pt idx="10">
                  <c:v>1840</c:v>
                </c:pt>
                <c:pt idx="11">
                  <c:v>1840</c:v>
                </c:pt>
                <c:pt idx="12">
                  <c:v>1840</c:v>
                </c:pt>
                <c:pt idx="13">
                  <c:v>1840</c:v>
                </c:pt>
                <c:pt idx="14">
                  <c:v>1840</c:v>
                </c:pt>
                <c:pt idx="15">
                  <c:v>1840</c:v>
                </c:pt>
                <c:pt idx="16">
                  <c:v>1840</c:v>
                </c:pt>
                <c:pt idx="17">
                  <c:v>1840</c:v>
                </c:pt>
                <c:pt idx="18">
                  <c:v>1840</c:v>
                </c:pt>
                <c:pt idx="19">
                  <c:v>1840</c:v>
                </c:pt>
                <c:pt idx="20">
                  <c:v>1840</c:v>
                </c:pt>
                <c:pt idx="21">
                  <c:v>1840</c:v>
                </c:pt>
                <c:pt idx="22">
                  <c:v>1840</c:v>
                </c:pt>
                <c:pt idx="23">
                  <c:v>1840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DemandBreakdown!$D$31</c:f>
              <c:strCache>
                <c:ptCount val="1"/>
                <c:pt idx="0">
                  <c:v>Urban/Services/Small Industry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DemandBreakdown!$BP$31:$CM$31</c:f>
              <c:numCache>
                <c:formatCode>#,##0</c:formatCode>
                <c:ptCount val="24"/>
                <c:pt idx="0">
                  <c:v>33.32</c:v>
                </c:pt>
                <c:pt idx="1">
                  <c:v>45.876331232340796</c:v>
                </c:pt>
                <c:pt idx="2">
                  <c:v>102.00142789148025</c:v>
                </c:pt>
                <c:pt idx="3">
                  <c:v>157.42808309229557</c:v>
                </c:pt>
                <c:pt idx="4">
                  <c:v>216.70505287896592</c:v>
                </c:pt>
                <c:pt idx="5">
                  <c:v>249.8718801996672</c:v>
                </c:pt>
                <c:pt idx="6">
                  <c:v>260.79969301611663</c:v>
                </c:pt>
                <c:pt idx="7">
                  <c:v>270.51744449478929</c:v>
                </c:pt>
                <c:pt idx="8">
                  <c:v>277.52876106194685</c:v>
                </c:pt>
                <c:pt idx="9">
                  <c:v>279.47906316536546</c:v>
                </c:pt>
                <c:pt idx="10">
                  <c:v>267.12871287128718</c:v>
                </c:pt>
                <c:pt idx="11">
                  <c:v>279.32890365448509</c:v>
                </c:pt>
                <c:pt idx="12">
                  <c:v>292.06381039197817</c:v>
                </c:pt>
                <c:pt idx="13">
                  <c:v>306.03594914511177</c:v>
                </c:pt>
                <c:pt idx="14">
                  <c:v>320.49831081081084</c:v>
                </c:pt>
                <c:pt idx="15">
                  <c:v>336.1384928716904</c:v>
                </c:pt>
                <c:pt idx="16">
                  <c:v>352.53894076328237</c:v>
                </c:pt>
                <c:pt idx="17">
                  <c:v>369.84250907655468</c:v>
                </c:pt>
                <c:pt idx="18">
                  <c:v>388.08090734118406</c:v>
                </c:pt>
                <c:pt idx="19">
                  <c:v>407.28735629439876</c:v>
                </c:pt>
                <c:pt idx="20">
                  <c:v>425.60753759884057</c:v>
                </c:pt>
                <c:pt idx="21">
                  <c:v>451.57439458357811</c:v>
                </c:pt>
                <c:pt idx="22">
                  <c:v>769.50117316210446</c:v>
                </c:pt>
                <c:pt idx="23">
                  <c:v>1391.2630843863808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DemandBreakdown!$D$32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DemandBreakdown!$BP$32:$CM$32</c:f>
              <c:numCache>
                <c:formatCode>#,##0</c:formatCode>
                <c:ptCount val="24"/>
                <c:pt idx="0">
                  <c:v>0.68</c:v>
                </c:pt>
                <c:pt idx="1">
                  <c:v>1.1236687676592045</c:v>
                </c:pt>
                <c:pt idx="2">
                  <c:v>2.9985721085197521</c:v>
                </c:pt>
                <c:pt idx="3">
                  <c:v>5.5719169077044421</c:v>
                </c:pt>
                <c:pt idx="4">
                  <c:v>9.2949471210340739</c:v>
                </c:pt>
                <c:pt idx="5">
                  <c:v>13.128119800332778</c:v>
                </c:pt>
                <c:pt idx="6">
                  <c:v>18.200306983883348</c:v>
                </c:pt>
                <c:pt idx="7">
                  <c:v>25.482555505210694</c:v>
                </c:pt>
                <c:pt idx="8">
                  <c:v>36.471238938053105</c:v>
                </c:pt>
                <c:pt idx="9">
                  <c:v>54.520936834634497</c:v>
                </c:pt>
                <c:pt idx="10">
                  <c:v>87.871287128712851</c:v>
                </c:pt>
                <c:pt idx="11">
                  <c:v>98.671096345514925</c:v>
                </c:pt>
                <c:pt idx="12">
                  <c:v>109.93618960802186</c:v>
                </c:pt>
                <c:pt idx="13">
                  <c:v>121.9640508548882</c:v>
                </c:pt>
                <c:pt idx="14">
                  <c:v>134.50168918918919</c:v>
                </c:pt>
                <c:pt idx="15">
                  <c:v>147.8615071283096</c:v>
                </c:pt>
                <c:pt idx="16">
                  <c:v>161.90077646993456</c:v>
                </c:pt>
                <c:pt idx="17">
                  <c:v>176.7094618971735</c:v>
                </c:pt>
                <c:pt idx="18">
                  <c:v>192.33084614926537</c:v>
                </c:pt>
                <c:pt idx="19">
                  <c:v>208.80895222864498</c:v>
                </c:pt>
                <c:pt idx="20">
                  <c:v>225.18917333271995</c:v>
                </c:pt>
                <c:pt idx="21">
                  <c:v>238.92825110242237</c:v>
                </c:pt>
                <c:pt idx="22">
                  <c:v>407.14347786354745</c:v>
                </c:pt>
                <c:pt idx="23">
                  <c:v>736.1180340668684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DemandBreakdown!$D$33</c:f>
              <c:strCache>
                <c:ptCount val="1"/>
                <c:pt idx="0">
                  <c:v>Total Demand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DemandBreakdown!$BP$33:$CM$33</c:f>
              <c:numCache>
                <c:formatCode>#,##0</c:formatCode>
                <c:ptCount val="24"/>
                <c:pt idx="0">
                  <c:v>34</c:v>
                </c:pt>
                <c:pt idx="1">
                  <c:v>47</c:v>
                </c:pt>
                <c:pt idx="2">
                  <c:v>138</c:v>
                </c:pt>
                <c:pt idx="3">
                  <c:v>294</c:v>
                </c:pt>
                <c:pt idx="4">
                  <c:v>883</c:v>
                </c:pt>
                <c:pt idx="5">
                  <c:v>1446</c:v>
                </c:pt>
                <c:pt idx="6">
                  <c:v>2119</c:v>
                </c:pt>
                <c:pt idx="7">
                  <c:v>2136</c:v>
                </c:pt>
                <c:pt idx="8">
                  <c:v>2154</c:v>
                </c:pt>
                <c:pt idx="9">
                  <c:v>2174</c:v>
                </c:pt>
                <c:pt idx="10">
                  <c:v>2195</c:v>
                </c:pt>
                <c:pt idx="11">
                  <c:v>2218</c:v>
                </c:pt>
                <c:pt idx="12">
                  <c:v>2242</c:v>
                </c:pt>
                <c:pt idx="13">
                  <c:v>2268</c:v>
                </c:pt>
                <c:pt idx="14">
                  <c:v>2295</c:v>
                </c:pt>
                <c:pt idx="15">
                  <c:v>2324</c:v>
                </c:pt>
                <c:pt idx="16">
                  <c:v>2354.4397172332169</c:v>
                </c:pt>
                <c:pt idx="17">
                  <c:v>2386.5519709737282</c:v>
                </c:pt>
                <c:pt idx="18">
                  <c:v>2420.4117534904494</c:v>
                </c:pt>
                <c:pt idx="19">
                  <c:v>2456.0963085230437</c:v>
                </c:pt>
                <c:pt idx="20">
                  <c:v>2490.7967109315605</c:v>
                </c:pt>
                <c:pt idx="21">
                  <c:v>2530.5026456860005</c:v>
                </c:pt>
                <c:pt idx="22">
                  <c:v>3016.6446510256519</c:v>
                </c:pt>
                <c:pt idx="23">
                  <c:v>3967.3811184532492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87264"/>
        <c:axId val="207401344"/>
      </c:scatterChart>
      <c:valAx>
        <c:axId val="2073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401344"/>
        <c:crosses val="autoZero"/>
        <c:crossBetween val="midCat"/>
      </c:valAx>
      <c:valAx>
        <c:axId val="207401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38726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590549</xdr:colOff>
      <xdr:row>74</xdr:row>
      <xdr:rowOff>95250</xdr:rowOff>
    </xdr:from>
    <xdr:to>
      <xdr:col>34</xdr:col>
      <xdr:colOff>361949</xdr:colOff>
      <xdr:row>90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104775</xdr:colOff>
      <xdr:row>61</xdr:row>
      <xdr:rowOff>76200</xdr:rowOff>
    </xdr:from>
    <xdr:to>
      <xdr:col>30</xdr:col>
      <xdr:colOff>352425</xdr:colOff>
      <xdr:row>73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61</xdr:row>
      <xdr:rowOff>0</xdr:rowOff>
    </xdr:from>
    <xdr:to>
      <xdr:col>38</xdr:col>
      <xdr:colOff>304800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95250</xdr:colOff>
      <xdr:row>50</xdr:row>
      <xdr:rowOff>161924</xdr:rowOff>
    </xdr:from>
    <xdr:to>
      <xdr:col>30</xdr:col>
      <xdr:colOff>419100</xdr:colOff>
      <xdr:row>66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457200</xdr:colOff>
      <xdr:row>58</xdr:row>
      <xdr:rowOff>133350</xdr:rowOff>
    </xdr:from>
    <xdr:to>
      <xdr:col>38</xdr:col>
      <xdr:colOff>628650</xdr:colOff>
      <xdr:row>74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9525</xdr:colOff>
      <xdr:row>43</xdr:row>
      <xdr:rowOff>47624</xdr:rowOff>
    </xdr:from>
    <xdr:to>
      <xdr:col>80</xdr:col>
      <xdr:colOff>314325</xdr:colOff>
      <xdr:row>58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209549</xdr:colOff>
      <xdr:row>68</xdr:row>
      <xdr:rowOff>66674</xdr:rowOff>
    </xdr:from>
    <xdr:to>
      <xdr:col>71</xdr:col>
      <xdr:colOff>66674</xdr:colOff>
      <xdr:row>87</xdr:row>
      <xdr:rowOff>104775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95250</xdr:colOff>
      <xdr:row>14</xdr:row>
      <xdr:rowOff>47625</xdr:rowOff>
    </xdr:from>
    <xdr:to>
      <xdr:col>96</xdr:col>
      <xdr:colOff>0</xdr:colOff>
      <xdr:row>28</xdr:row>
      <xdr:rowOff>85731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61912</xdr:colOff>
      <xdr:row>36</xdr:row>
      <xdr:rowOff>114300</xdr:rowOff>
    </xdr:from>
    <xdr:to>
      <xdr:col>76</xdr:col>
      <xdr:colOff>366712</xdr:colOff>
      <xdr:row>51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552450</xdr:colOff>
      <xdr:row>53</xdr:row>
      <xdr:rowOff>104775</xdr:rowOff>
    </xdr:from>
    <xdr:to>
      <xdr:col>76</xdr:col>
      <xdr:colOff>247650</xdr:colOff>
      <xdr:row>67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94</xdr:col>
      <xdr:colOff>22411</xdr:colOff>
      <xdr:row>76</xdr:row>
      <xdr:rowOff>95255</xdr:rowOff>
    </xdr:from>
    <xdr:to>
      <xdr:col>102</xdr:col>
      <xdr:colOff>314325</xdr:colOff>
      <xdr:row>93</xdr:row>
      <xdr:rowOff>134471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28575</xdr:rowOff>
    </xdr:from>
    <xdr:to>
      <xdr:col>17</xdr:col>
      <xdr:colOff>304800</xdr:colOff>
      <xdr:row>15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54</xdr:row>
      <xdr:rowOff>9525</xdr:rowOff>
    </xdr:from>
    <xdr:to>
      <xdr:col>17</xdr:col>
      <xdr:colOff>333375</xdr:colOff>
      <xdr:row>68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17</xdr:col>
      <xdr:colOff>304800</xdr:colOff>
      <xdr:row>34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17</xdr:col>
      <xdr:colOff>304800</xdr:colOff>
      <xdr:row>51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28575</xdr:colOff>
      <xdr:row>73</xdr:row>
      <xdr:rowOff>9525</xdr:rowOff>
    </xdr:from>
    <xdr:to>
      <xdr:col>17</xdr:col>
      <xdr:colOff>333375</xdr:colOff>
      <xdr:row>87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28575</xdr:colOff>
      <xdr:row>92</xdr:row>
      <xdr:rowOff>9525</xdr:rowOff>
    </xdr:from>
    <xdr:to>
      <xdr:col>17</xdr:col>
      <xdr:colOff>333375</xdr:colOff>
      <xdr:row>106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371475</xdr:colOff>
      <xdr:row>109</xdr:row>
      <xdr:rowOff>85725</xdr:rowOff>
    </xdr:from>
    <xdr:to>
      <xdr:col>19</xdr:col>
      <xdr:colOff>66675</xdr:colOff>
      <xdr:row>123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3"/>
  <sheetViews>
    <sheetView workbookViewId="0">
      <selection activeCell="B1" sqref="B1"/>
    </sheetView>
  </sheetViews>
  <sheetFormatPr defaultRowHeight="15" x14ac:dyDescent="0.25"/>
  <cols>
    <col min="1" max="1" width="22.42578125" customWidth="1"/>
  </cols>
  <sheetData>
    <row r="1" spans="1:3" x14ac:dyDescent="0.25">
      <c r="A1" t="s">
        <v>142</v>
      </c>
      <c r="B1">
        <v>0</v>
      </c>
    </row>
    <row r="2" spans="1:3" x14ac:dyDescent="0.25">
      <c r="A2" t="s">
        <v>143</v>
      </c>
      <c r="B2">
        <v>0</v>
      </c>
    </row>
    <row r="3" spans="1:3" x14ac:dyDescent="0.25">
      <c r="A3" t="s">
        <v>144</v>
      </c>
      <c r="B3">
        <v>1</v>
      </c>
    </row>
    <row r="4" spans="1:3" x14ac:dyDescent="0.25">
      <c r="A4" t="s">
        <v>145</v>
      </c>
      <c r="B4">
        <v>2</v>
      </c>
    </row>
    <row r="8" spans="1:3" x14ac:dyDescent="0.25">
      <c r="A8" s="66" t="s">
        <v>16</v>
      </c>
    </row>
    <row r="9" spans="1:3" x14ac:dyDescent="0.25">
      <c r="A9" t="s">
        <v>193</v>
      </c>
      <c r="B9" t="s">
        <v>197</v>
      </c>
      <c r="C9" t="s">
        <v>194</v>
      </c>
    </row>
    <row r="10" spans="1:3" x14ac:dyDescent="0.25">
      <c r="A10" t="s">
        <v>63</v>
      </c>
      <c r="B10" t="s">
        <v>64</v>
      </c>
      <c r="C10" t="s">
        <v>63</v>
      </c>
    </row>
    <row r="11" spans="1:3" x14ac:dyDescent="0.25">
      <c r="A11" t="s">
        <v>65</v>
      </c>
      <c r="B11" t="s">
        <v>66</v>
      </c>
      <c r="C11" t="s">
        <v>65</v>
      </c>
    </row>
    <row r="12" spans="1:3" x14ac:dyDescent="0.25">
      <c r="A12" t="s">
        <v>67</v>
      </c>
      <c r="B12" t="s">
        <v>62</v>
      </c>
      <c r="C12" t="s">
        <v>67</v>
      </c>
    </row>
    <row r="13" spans="1:3" x14ac:dyDescent="0.25">
      <c r="A13" t="s">
        <v>68</v>
      </c>
      <c r="B13" t="s">
        <v>69</v>
      </c>
      <c r="C13" t="s">
        <v>68</v>
      </c>
    </row>
    <row r="14" spans="1:3" x14ac:dyDescent="0.25">
      <c r="A14" t="s">
        <v>70</v>
      </c>
      <c r="B14" t="s">
        <v>71</v>
      </c>
      <c r="C14" t="s">
        <v>70</v>
      </c>
    </row>
    <row r="15" spans="1:3" x14ac:dyDescent="0.25">
      <c r="A15" t="s">
        <v>72</v>
      </c>
      <c r="B15" t="s">
        <v>73</v>
      </c>
      <c r="C15" t="s">
        <v>72</v>
      </c>
    </row>
    <row r="16" spans="1:3" x14ac:dyDescent="0.25">
      <c r="A16" t="s">
        <v>74</v>
      </c>
      <c r="B16" t="s">
        <v>75</v>
      </c>
      <c r="C16" t="s">
        <v>74</v>
      </c>
    </row>
    <row r="17" spans="1:3" x14ac:dyDescent="0.25">
      <c r="A17" t="s">
        <v>76</v>
      </c>
      <c r="B17" t="s">
        <v>77</v>
      </c>
      <c r="C17" t="s">
        <v>76</v>
      </c>
    </row>
    <row r="18" spans="1:3" x14ac:dyDescent="0.25">
      <c r="A18" t="s">
        <v>78</v>
      </c>
      <c r="B18" t="s">
        <v>29</v>
      </c>
      <c r="C18" t="s">
        <v>78</v>
      </c>
    </row>
    <row r="19" spans="1:3" x14ac:dyDescent="0.25">
      <c r="A19" t="s">
        <v>79</v>
      </c>
      <c r="B19" t="s">
        <v>80</v>
      </c>
      <c r="C19" t="s">
        <v>79</v>
      </c>
    </row>
    <row r="20" spans="1:3" x14ac:dyDescent="0.25">
      <c r="A20" t="s">
        <v>81</v>
      </c>
      <c r="B20" t="s">
        <v>82</v>
      </c>
      <c r="C20" t="s">
        <v>81</v>
      </c>
    </row>
    <row r="21" spans="1:3" x14ac:dyDescent="0.25">
      <c r="A21" t="s">
        <v>83</v>
      </c>
      <c r="B21" t="s">
        <v>84</v>
      </c>
      <c r="C21" t="s">
        <v>83</v>
      </c>
    </row>
    <row r="22" spans="1:3" x14ac:dyDescent="0.25">
      <c r="A22" t="s">
        <v>85</v>
      </c>
      <c r="B22" t="s">
        <v>86</v>
      </c>
      <c r="C22" t="s">
        <v>85</v>
      </c>
    </row>
    <row r="23" spans="1:3" x14ac:dyDescent="0.25">
      <c r="A23" t="s">
        <v>195</v>
      </c>
      <c r="B23" t="s">
        <v>197</v>
      </c>
      <c r="C23" t="s">
        <v>196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10" sqref="C10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67</v>
      </c>
      <c r="B2" s="26" t="str">
        <f>VLOOKUP(A2,General!$A$9:$B$23,2,FALSE)</f>
        <v>CIV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3.2940569364410477E-2</v>
      </c>
      <c r="E4" s="27">
        <f t="shared" ref="E4:R4" ca="1" si="1">E42</f>
        <v>6.4113238967526964E-2</v>
      </c>
      <c r="F4" s="27">
        <f t="shared" ca="1" si="1"/>
        <v>6.4006259780907682E-2</v>
      </c>
      <c r="G4" s="27">
        <f t="shared" ca="1" si="1"/>
        <v>6.5597882041476652E-2</v>
      </c>
      <c r="H4" s="27">
        <f t="shared" ca="1" si="1"/>
        <v>6.70807453416149E-2</v>
      </c>
      <c r="I4" s="27">
        <f t="shared" ca="1" si="1"/>
        <v>6.0276807657482889E-2</v>
      </c>
      <c r="J4" s="27">
        <f t="shared" ca="1" si="1"/>
        <v>5.8923996584116178E-2</v>
      </c>
      <c r="K4" s="27">
        <f t="shared" ca="1" si="1"/>
        <v>5.7834101382488567E-2</v>
      </c>
      <c r="L4" s="27">
        <f t="shared" ca="1" si="1"/>
        <v>5.6741450664343329E-2</v>
      </c>
      <c r="M4" s="27">
        <f t="shared" ca="1" si="1"/>
        <v>5.5755951767494594E-2</v>
      </c>
      <c r="N4" s="27">
        <f t="shared" ca="1" si="1"/>
        <v>5.4959000390472523E-2</v>
      </c>
      <c r="O4" s="27">
        <f t="shared" ca="1" si="1"/>
        <v>5.4039048764689568E-2</v>
      </c>
      <c r="P4" s="27">
        <f t="shared" ca="1" si="1"/>
        <v>5.3287683258713026E-2</v>
      </c>
      <c r="Q4" s="27">
        <f t="shared" ca="1" si="1"/>
        <v>5.2508751458576475E-2</v>
      </c>
      <c r="R4" s="27">
        <f t="shared" ca="1" si="1"/>
        <v>5.1948051948051965E-2</v>
      </c>
      <c r="S4" s="17">
        <f ca="1">$W$4</f>
        <v>4.8061971230432654E-2</v>
      </c>
      <c r="T4" s="17">
        <f t="shared" ref="T4:V4" ca="1" si="2">$W$4</f>
        <v>4.8061971230432654E-2</v>
      </c>
      <c r="U4" s="17">
        <f t="shared" ca="1" si="2"/>
        <v>4.8061971230432654E-2</v>
      </c>
      <c r="V4" s="17">
        <f t="shared" ca="1" si="2"/>
        <v>4.8061971230432654E-2</v>
      </c>
      <c r="W4" s="17">
        <f ca="1">SUMIF(SourceData!$AO$3:$BA$3,$B$2,SourceData!$AO$25:$BA$25)</f>
        <v>4.8061971230432654E-2</v>
      </c>
      <c r="X4" s="73">
        <f ca="1">W4</f>
        <v>4.8061971230432654E-2</v>
      </c>
      <c r="Y4" s="17">
        <f ca="1">SUMIF(SourceData!$AO$3:$BA$3,$B$2,SourceData!$AO$27:$BA$27)</f>
        <v>4.8061971230432654E-2</v>
      </c>
      <c r="Z4" s="17">
        <f ca="1">SUMIF(SourceData!$AO$3:$BA$3,$B$2,SourceData!$AO$28:$BA$28)</f>
        <v>4.8061971230432654E-2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4941.4749999999995</v>
      </c>
      <c r="D5" s="7">
        <f t="shared" ref="D5:X5" ca="1" si="3">C5*(1+D4)</f>
        <v>5104.25</v>
      </c>
      <c r="E5" s="7">
        <f t="shared" ca="1" si="3"/>
        <v>5431.4999999999991</v>
      </c>
      <c r="F5" s="7">
        <f t="shared" ca="1" si="3"/>
        <v>5779.1499999999987</v>
      </c>
      <c r="G5" s="7">
        <f t="shared" ca="1" si="3"/>
        <v>6158.2499999999982</v>
      </c>
      <c r="H5" s="7">
        <f t="shared" ca="1" si="3"/>
        <v>6571.3499999999976</v>
      </c>
      <c r="I5" s="7">
        <f t="shared" ca="1" si="3"/>
        <v>6967.449999999998</v>
      </c>
      <c r="J5" s="7">
        <f t="shared" ca="1" si="3"/>
        <v>7377.9999999999982</v>
      </c>
      <c r="K5" s="7">
        <f t="shared" ca="1" si="3"/>
        <v>7804.6999999999989</v>
      </c>
      <c r="L5" s="7">
        <f t="shared" ca="1" si="3"/>
        <v>8247.5499999999993</v>
      </c>
      <c r="M5" s="7">
        <f t="shared" ca="1" si="3"/>
        <v>8707.4</v>
      </c>
      <c r="N5" s="7">
        <f t="shared" ca="1" si="3"/>
        <v>9185.9500000000007</v>
      </c>
      <c r="O5" s="7">
        <f t="shared" ca="1" si="3"/>
        <v>9682.35</v>
      </c>
      <c r="P5" s="7">
        <f t="shared" ca="1" si="3"/>
        <v>10198.300000000001</v>
      </c>
      <c r="Q5" s="7">
        <f t="shared" ca="1" si="3"/>
        <v>10733.800000000001</v>
      </c>
      <c r="R5" s="7">
        <f t="shared" ca="1" si="3"/>
        <v>11291.400000000001</v>
      </c>
      <c r="S5" s="7">
        <f t="shared" ca="1" si="3"/>
        <v>11834.086941951309</v>
      </c>
      <c r="T5" s="7">
        <f t="shared" ca="1" si="3"/>
        <v>12402.856488093812</v>
      </c>
      <c r="U5" s="7">
        <f t="shared" ca="1" si="3"/>
        <v>12998.962219799761</v>
      </c>
      <c r="V5" s="7">
        <f t="shared" ca="1" si="3"/>
        <v>13623.717968033259</v>
      </c>
      <c r="W5" s="7">
        <f t="shared" ca="1" si="3"/>
        <v>14278.500709064403</v>
      </c>
      <c r="X5" s="7">
        <f t="shared" ca="1" si="3"/>
        <v>14964.753599357169</v>
      </c>
      <c r="Y5" s="7">
        <f ca="1">W5*(1+Y4)^(Y2-W2)</f>
        <v>22832.435372554195</v>
      </c>
      <c r="Z5" s="7">
        <f t="shared" ref="Z5:AA5" ca="1" si="4">Y5*(1+Z4)^(Z2-Y2)</f>
        <v>36510.843516708657</v>
      </c>
      <c r="AA5" s="7">
        <f t="shared" ca="1" si="4"/>
        <v>36510.843516708657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40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4941.4749999999995</v>
      </c>
      <c r="D8" s="8">
        <f t="shared" ca="1" si="6"/>
        <v>5104.25</v>
      </c>
      <c r="E8" s="8">
        <f t="shared" ca="1" si="6"/>
        <v>5431.4999999999991</v>
      </c>
      <c r="F8" s="8">
        <f t="shared" ca="1" si="6"/>
        <v>5779.1499999999987</v>
      </c>
      <c r="G8" s="8">
        <f t="shared" ca="1" si="6"/>
        <v>6158.2499999999982</v>
      </c>
      <c r="H8" s="8">
        <f t="shared" ca="1" si="6"/>
        <v>6571.3499999999976</v>
      </c>
      <c r="I8" s="8">
        <f t="shared" ca="1" si="6"/>
        <v>6967.449999999998</v>
      </c>
      <c r="J8" s="8">
        <f t="shared" ca="1" si="6"/>
        <v>7377.9999999999982</v>
      </c>
      <c r="K8" s="8">
        <f t="shared" ca="1" si="6"/>
        <v>7804.6999999999989</v>
      </c>
      <c r="L8" s="8">
        <f t="shared" ca="1" si="6"/>
        <v>8247.5499999999993</v>
      </c>
      <c r="M8" s="8">
        <f t="shared" ca="1" si="6"/>
        <v>8707.4</v>
      </c>
      <c r="N8" s="8">
        <f t="shared" ca="1" si="6"/>
        <v>9185.9500000000007</v>
      </c>
      <c r="O8" s="8">
        <f t="shared" ca="1" si="6"/>
        <v>9682.35</v>
      </c>
      <c r="P8" s="8">
        <f t="shared" ca="1" si="6"/>
        <v>10198.300000000001</v>
      </c>
      <c r="Q8" s="8">
        <f t="shared" ca="1" si="6"/>
        <v>10733.800000000001</v>
      </c>
      <c r="R8" s="8">
        <f t="shared" ca="1" si="6"/>
        <v>11291.400000000001</v>
      </c>
      <c r="S8" s="8">
        <f t="shared" ca="1" si="6"/>
        <v>11834.086941951309</v>
      </c>
      <c r="T8" s="8">
        <f t="shared" ca="1" si="6"/>
        <v>12402.856488093812</v>
      </c>
      <c r="U8" s="8">
        <f t="shared" ca="1" si="6"/>
        <v>12998.962219799761</v>
      </c>
      <c r="V8" s="8">
        <f t="shared" ca="1" si="6"/>
        <v>13623.717968033259</v>
      </c>
      <c r="W8" s="8">
        <f t="shared" ca="1" si="6"/>
        <v>14278.500709064403</v>
      </c>
      <c r="X8" s="8">
        <f t="shared" ca="1" si="6"/>
        <v>14964.753599357169</v>
      </c>
      <c r="Y8" s="8">
        <f t="shared" ca="1" si="6"/>
        <v>22832.435372554195</v>
      </c>
      <c r="Z8" s="8">
        <f t="shared" ca="1" si="6"/>
        <v>36510.843516708657</v>
      </c>
      <c r="AA8" s="8">
        <f t="shared" ca="1" si="6"/>
        <v>36510.843516708657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5813.4999999999991</v>
      </c>
      <c r="D11" s="8">
        <f t="shared" ca="1" si="8"/>
        <v>6005</v>
      </c>
      <c r="E11" s="8">
        <f t="shared" ca="1" si="8"/>
        <v>6389.9999999999991</v>
      </c>
      <c r="F11" s="8">
        <f t="shared" ca="1" si="8"/>
        <v>6798.9999999999991</v>
      </c>
      <c r="G11" s="8">
        <f t="shared" ca="1" si="8"/>
        <v>7244.9999999999982</v>
      </c>
      <c r="H11" s="8">
        <f t="shared" ca="1" si="8"/>
        <v>7730.9999999999973</v>
      </c>
      <c r="I11" s="8">
        <f t="shared" ca="1" si="8"/>
        <v>8196.9999999999982</v>
      </c>
      <c r="J11" s="8">
        <f t="shared" ca="1" si="8"/>
        <v>8679.9999999999982</v>
      </c>
      <c r="K11" s="8">
        <f t="shared" ca="1" si="8"/>
        <v>9181.9999999999982</v>
      </c>
      <c r="L11" s="8">
        <f t="shared" ca="1" si="8"/>
        <v>9703</v>
      </c>
      <c r="M11" s="8">
        <f t="shared" ca="1" si="8"/>
        <v>10244</v>
      </c>
      <c r="N11" s="8">
        <f t="shared" ca="1" si="8"/>
        <v>10807.000000000002</v>
      </c>
      <c r="O11" s="8">
        <f t="shared" ca="1" si="8"/>
        <v>11391</v>
      </c>
      <c r="P11" s="8">
        <f t="shared" ca="1" si="8"/>
        <v>11998.000000000002</v>
      </c>
      <c r="Q11" s="8">
        <f t="shared" ca="1" si="8"/>
        <v>12628.000000000002</v>
      </c>
      <c r="R11" s="8">
        <f t="shared" ca="1" si="8"/>
        <v>13284.000000000002</v>
      </c>
      <c r="S11" s="8">
        <f t="shared" ca="1" si="8"/>
        <v>13922.45522582507</v>
      </c>
      <c r="T11" s="8">
        <f t="shared" ca="1" si="8"/>
        <v>14591.595868345661</v>
      </c>
      <c r="U11" s="8">
        <f t="shared" ca="1" si="8"/>
        <v>15292.896729176191</v>
      </c>
      <c r="V11" s="8">
        <f t="shared" ca="1" si="8"/>
        <v>16027.903491803834</v>
      </c>
      <c r="W11" s="8">
        <f t="shared" ca="1" si="8"/>
        <v>16798.236128311062</v>
      </c>
      <c r="X11" s="8">
        <f t="shared" ca="1" si="8"/>
        <v>17605.592469831965</v>
      </c>
      <c r="Y11" s="8">
        <f t="shared" ca="1" si="8"/>
        <v>26861.688673593173</v>
      </c>
      <c r="Z11" s="8">
        <f t="shared" ca="1" si="8"/>
        <v>42953.933549069006</v>
      </c>
      <c r="AA11" s="8">
        <f t="shared" ca="1" si="8"/>
        <v>42953.933549069006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5813.4999999999991</v>
      </c>
      <c r="D20" s="39">
        <f t="shared" ca="1" si="13"/>
        <v>6005</v>
      </c>
      <c r="E20" s="39">
        <f t="shared" ca="1" si="13"/>
        <v>6389.9999999999991</v>
      </c>
      <c r="F20" s="39">
        <f t="shared" ca="1" si="13"/>
        <v>6798.9999999999991</v>
      </c>
      <c r="G20" s="39">
        <f t="shared" ca="1" si="13"/>
        <v>7244.9999999999982</v>
      </c>
      <c r="H20" s="39">
        <f t="shared" ca="1" si="13"/>
        <v>7730.9999999999973</v>
      </c>
      <c r="I20" s="39">
        <f t="shared" ca="1" si="13"/>
        <v>8196.9999999999982</v>
      </c>
      <c r="J20" s="39">
        <f t="shared" ca="1" si="13"/>
        <v>8679.9999999999982</v>
      </c>
      <c r="K20" s="39">
        <f t="shared" ca="1" si="13"/>
        <v>9181.9999999999982</v>
      </c>
      <c r="L20" s="39">
        <f t="shared" ca="1" si="13"/>
        <v>9703</v>
      </c>
      <c r="M20" s="39">
        <f t="shared" ca="1" si="13"/>
        <v>10244</v>
      </c>
      <c r="N20" s="39">
        <f t="shared" ca="1" si="13"/>
        <v>10807.000000000002</v>
      </c>
      <c r="O20" s="39">
        <f t="shared" ca="1" si="13"/>
        <v>11391</v>
      </c>
      <c r="P20" s="39">
        <f t="shared" ca="1" si="13"/>
        <v>11998.000000000002</v>
      </c>
      <c r="Q20" s="39">
        <f t="shared" ca="1" si="13"/>
        <v>12628.000000000002</v>
      </c>
      <c r="R20" s="39">
        <f t="shared" ca="1" si="13"/>
        <v>13284.000000000002</v>
      </c>
      <c r="S20" s="39">
        <f t="shared" ca="1" si="13"/>
        <v>13922.45522582507</v>
      </c>
      <c r="T20" s="39">
        <f t="shared" ca="1" si="13"/>
        <v>14591.595868345661</v>
      </c>
      <c r="U20" s="39">
        <f t="shared" ca="1" si="13"/>
        <v>15292.896729176191</v>
      </c>
      <c r="V20" s="39">
        <f t="shared" ca="1" si="13"/>
        <v>16027.903491803834</v>
      </c>
      <c r="W20" s="39">
        <f t="shared" ca="1" si="13"/>
        <v>16798.236128311062</v>
      </c>
      <c r="X20" s="39">
        <f t="shared" ca="1" si="13"/>
        <v>17605.592469831965</v>
      </c>
      <c r="Y20" s="39">
        <f t="shared" ca="1" si="13"/>
        <v>26861.688673593173</v>
      </c>
      <c r="Z20" s="39">
        <f t="shared" ca="1" si="13"/>
        <v>42953.933549069006</v>
      </c>
      <c r="AA20" s="39">
        <f t="shared" ca="1" si="13"/>
        <v>42953.933549069006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7563.0017360000002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0.3009377717381958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0.3009377717381958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0.3009377717381958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0.3009377717381958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7035.3350693333332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0.21017202534331036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0.21017202534331036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911.99999999999989</v>
      </c>
      <c r="D33" s="23">
        <f ca="1">D20/(D34*8.76)</f>
        <v>968.00000000000011</v>
      </c>
      <c r="E33" s="23">
        <f ca="1">E20/(E34*8.76)</f>
        <v>1029.9999999999998</v>
      </c>
      <c r="F33" s="23">
        <f t="shared" ref="F33:X33" ca="1" si="14">F20/(F34*8.76)</f>
        <v>1095.9999999999995</v>
      </c>
      <c r="G33" s="23">
        <f t="shared" ca="1" si="14"/>
        <v>1167.9999999999998</v>
      </c>
      <c r="H33" s="23">
        <f t="shared" ca="1" si="14"/>
        <v>1246.9999999999995</v>
      </c>
      <c r="I33" s="23">
        <f t="shared" ca="1" si="14"/>
        <v>1321.9999999999998</v>
      </c>
      <c r="J33" s="23">
        <f t="shared" ca="1" si="14"/>
        <v>1399.9999999999998</v>
      </c>
      <c r="K33" s="23">
        <f t="shared" ca="1" si="14"/>
        <v>1479.9999999999995</v>
      </c>
      <c r="L33" s="23">
        <f t="shared" ca="1" si="14"/>
        <v>1564.0000000000002</v>
      </c>
      <c r="M33" s="23">
        <f t="shared" ca="1" si="14"/>
        <v>1652</v>
      </c>
      <c r="N33" s="23">
        <f t="shared" ca="1" si="14"/>
        <v>1742.0000000000002</v>
      </c>
      <c r="O33" s="23">
        <f t="shared" ca="1" si="14"/>
        <v>1836.9999999999998</v>
      </c>
      <c r="P33" s="23">
        <f t="shared" ca="1" si="14"/>
        <v>1934.0000000000005</v>
      </c>
      <c r="Q33" s="23">
        <f t="shared" ca="1" si="14"/>
        <v>2036.0000000000005</v>
      </c>
      <c r="R33" s="23">
        <f t="shared" ca="1" si="14"/>
        <v>2142</v>
      </c>
      <c r="S33" s="23">
        <f t="shared" ca="1" si="14"/>
        <v>2244.9487423755868</v>
      </c>
      <c r="T33" s="23">
        <f t="shared" ca="1" si="14"/>
        <v>2352.8454042454382</v>
      </c>
      <c r="U33" s="23">
        <f t="shared" ca="1" si="14"/>
        <v>2465.9277923739382</v>
      </c>
      <c r="V33" s="23">
        <f t="shared" ca="1" si="14"/>
        <v>2584.4451429873388</v>
      </c>
      <c r="W33" s="23">
        <f t="shared" ca="1" si="14"/>
        <v>2708.6586710962279</v>
      </c>
      <c r="X33" s="23">
        <f t="shared" ca="1" si="14"/>
        <v>2838.842146219517</v>
      </c>
    </row>
    <row r="34" spans="1:24" ht="15" x14ac:dyDescent="0.25">
      <c r="A34" s="1" t="s">
        <v>7</v>
      </c>
      <c r="C34" s="77">
        <f ca="1">C41/(C44*8.76)</f>
        <v>0.72767714091163982</v>
      </c>
      <c r="D34" s="77">
        <f ca="1">D41/(D44*8.76)</f>
        <v>0.70816351560436241</v>
      </c>
      <c r="E34" s="77">
        <f t="shared" ref="E34:R34" ca="1" si="15">E41/(E44*8.76)</f>
        <v>0.70820587844128213</v>
      </c>
      <c r="F34" s="77">
        <f t="shared" ca="1" si="15"/>
        <v>0.70815835083158363</v>
      </c>
      <c r="G34" s="77">
        <f t="shared" ca="1" si="15"/>
        <v>0.70809485832238694</v>
      </c>
      <c r="H34" s="77">
        <f t="shared" ca="1" si="15"/>
        <v>0.70772593951511031</v>
      </c>
      <c r="I34" s="77">
        <f t="shared" ca="1" si="15"/>
        <v>0.70781436732776548</v>
      </c>
      <c r="J34" s="77">
        <f t="shared" ca="1" si="15"/>
        <v>0.70776255707762559</v>
      </c>
      <c r="K34" s="77">
        <f t="shared" ca="1" si="15"/>
        <v>0.70822534863630759</v>
      </c>
      <c r="L34" s="77">
        <f t="shared" ca="1" si="15"/>
        <v>0.70821509068189514</v>
      </c>
      <c r="M34" s="77">
        <f t="shared" ca="1" si="15"/>
        <v>0.70787311906420336</v>
      </c>
      <c r="N34" s="77">
        <f t="shared" ca="1" si="15"/>
        <v>0.70819506262156029</v>
      </c>
      <c r="O34" s="77">
        <f t="shared" ca="1" si="15"/>
        <v>0.70786198462353012</v>
      </c>
      <c r="P34" s="77">
        <f t="shared" ca="1" si="15"/>
        <v>0.70818754043244414</v>
      </c>
      <c r="Q34" s="77">
        <f t="shared" ca="1" si="15"/>
        <v>0.70803168537108307</v>
      </c>
      <c r="R34" s="77">
        <f t="shared" ca="1" si="15"/>
        <v>0.70795441464256947</v>
      </c>
      <c r="S34" s="14">
        <f t="shared" ref="S34:X34" ca="1" si="16">R34</f>
        <v>0.70795441464256947</v>
      </c>
      <c r="T34" s="14">
        <f t="shared" ca="1" si="16"/>
        <v>0.70795441464256947</v>
      </c>
      <c r="U34" s="14">
        <f t="shared" ca="1" si="16"/>
        <v>0.70795441464256947</v>
      </c>
      <c r="V34" s="14">
        <f t="shared" ca="1" si="16"/>
        <v>0.70795441464256947</v>
      </c>
      <c r="W34" s="14">
        <f t="shared" ca="1" si="16"/>
        <v>0.70795441464256947</v>
      </c>
      <c r="X34" s="14">
        <f t="shared" ca="1" si="16"/>
        <v>0.70795441464256947</v>
      </c>
    </row>
    <row r="35" spans="1:24" ht="15" x14ac:dyDescent="0.25">
      <c r="A35" s="1" t="s">
        <v>8</v>
      </c>
      <c r="C35" s="15"/>
      <c r="D35" s="15">
        <f t="shared" ref="D35:X35" ca="1" si="17">D33/C33-1</f>
        <v>6.1403508771930015E-2</v>
      </c>
      <c r="E35" s="15">
        <f t="shared" ca="1" si="17"/>
        <v>6.4049586776859124E-2</v>
      </c>
      <c r="F35" s="15">
        <f t="shared" ca="1" si="17"/>
        <v>6.4077669902912415E-2</v>
      </c>
      <c r="G35" s="15">
        <f t="shared" ca="1" si="17"/>
        <v>6.5693430656934559E-2</v>
      </c>
      <c r="H35" s="15">
        <f t="shared" ca="1" si="17"/>
        <v>6.7636986301369717E-2</v>
      </c>
      <c r="I35" s="15">
        <f t="shared" ca="1" si="17"/>
        <v>6.0144346431435736E-2</v>
      </c>
      <c r="J35" s="15">
        <f t="shared" ca="1" si="17"/>
        <v>5.9001512859303995E-2</v>
      </c>
      <c r="K35" s="15">
        <f t="shared" ca="1" si="17"/>
        <v>5.714285714285694E-2</v>
      </c>
      <c r="L35" s="15">
        <f t="shared" ca="1" si="17"/>
        <v>5.6756756756757287E-2</v>
      </c>
      <c r="M35" s="15">
        <f t="shared" ca="1" si="17"/>
        <v>5.6265984654731316E-2</v>
      </c>
      <c r="N35" s="15">
        <f t="shared" ca="1" si="17"/>
        <v>5.4479418886198783E-2</v>
      </c>
      <c r="O35" s="15">
        <f t="shared" ca="1" si="17"/>
        <v>5.4535017221584159E-2</v>
      </c>
      <c r="P35" s="15">
        <f t="shared" ca="1" si="17"/>
        <v>5.2803483941208817E-2</v>
      </c>
      <c r="Q35" s="15">
        <f t="shared" ca="1" si="17"/>
        <v>5.2740434332988695E-2</v>
      </c>
      <c r="R35" s="15">
        <f t="shared" ca="1" si="17"/>
        <v>5.2062868369351367E-2</v>
      </c>
      <c r="S35" s="15">
        <f t="shared" ca="1" si="17"/>
        <v>4.8061971230432654E-2</v>
      </c>
      <c r="T35" s="15">
        <f t="shared" ca="1" si="17"/>
        <v>4.8061971230432654E-2</v>
      </c>
      <c r="U35" s="15">
        <f t="shared" ca="1" si="17"/>
        <v>4.8061971230432654E-2</v>
      </c>
      <c r="V35" s="15">
        <f t="shared" ca="1" si="17"/>
        <v>4.8061971230432654E-2</v>
      </c>
      <c r="W35" s="15">
        <f t="shared" ca="1" si="17"/>
        <v>4.8061971230432654E-2</v>
      </c>
      <c r="X35" s="15">
        <f t="shared" ca="1" si="17"/>
        <v>4.8061971230432654E-2</v>
      </c>
    </row>
    <row r="36" spans="1:24" ht="15" x14ac:dyDescent="0.25">
      <c r="A36" s="1" t="s">
        <v>93</v>
      </c>
      <c r="B36" s="2" t="s">
        <v>9</v>
      </c>
      <c r="C36" s="24">
        <v>1377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0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127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5813.5</v>
      </c>
      <c r="D41" s="74">
        <f ca="1">VALUE(OFFSET(SourceData!$A$4,$B$40+D$2-2011,SourceData!$D$1+General!$B$1))</f>
        <v>6005</v>
      </c>
      <c r="E41" s="74">
        <f ca="1">VALUE(OFFSET(SourceData!$A$4,$B$40+E$2-2011,SourceData!$D$1+General!$B$1))</f>
        <v>6390</v>
      </c>
      <c r="F41" s="74">
        <f ca="1">VALUE(OFFSET(SourceData!$A$4,$B$40+F$2-2011,SourceData!$D$1+General!$B$1))</f>
        <v>6799</v>
      </c>
      <c r="G41" s="74">
        <f ca="1">VALUE(OFFSET(SourceData!$A$4,$B$40+G$2-2011,SourceData!$D$1+General!$B$1))</f>
        <v>7245</v>
      </c>
      <c r="H41" s="74">
        <f ca="1">VALUE(OFFSET(SourceData!$A$4,$B$40+H$2-2011,SourceData!$D$1+General!$B$1))</f>
        <v>7731</v>
      </c>
      <c r="I41" s="74">
        <f ca="1">VALUE(OFFSET(SourceData!$A$4,$B$40+I$2-2011,SourceData!$D$1+General!$B$1))</f>
        <v>8197</v>
      </c>
      <c r="J41" s="74">
        <f ca="1">VALUE(OFFSET(SourceData!$A$4,$B$40+J$2-2011,SourceData!$D$1+General!$B$1))</f>
        <v>8680</v>
      </c>
      <c r="K41" s="74">
        <f ca="1">VALUE(OFFSET(SourceData!$A$4,$B$40+K$2-2011,SourceData!$D$1+General!$B$1))</f>
        <v>9182</v>
      </c>
      <c r="L41" s="74">
        <f ca="1">VALUE(OFFSET(SourceData!$A$4,$B$40+L$2-2011,SourceData!$D$1+General!$B$1))</f>
        <v>9703</v>
      </c>
      <c r="M41" s="74">
        <f ca="1">VALUE(OFFSET(SourceData!$A$4,$B$40+M$2-2011,SourceData!$D$1+General!$B$1))</f>
        <v>10244</v>
      </c>
      <c r="N41" s="74">
        <f ca="1">VALUE(OFFSET(SourceData!$A$4,$B$40+N$2-2011,SourceData!$D$1+General!$B$1))</f>
        <v>10807</v>
      </c>
      <c r="O41" s="74">
        <f ca="1">VALUE(OFFSET(SourceData!$A$4,$B$40+O$2-2011,SourceData!$D$1+General!$B$1))</f>
        <v>11391</v>
      </c>
      <c r="P41" s="74">
        <f ca="1">VALUE(OFFSET(SourceData!$A$4,$B$40+P$2-2011,SourceData!$D$1+General!$B$1))</f>
        <v>11998</v>
      </c>
      <c r="Q41" s="74">
        <f ca="1">VALUE(OFFSET(SourceData!$A$4,$B$40+Q$2-2011,SourceData!$D$1+General!$B$1))</f>
        <v>12628</v>
      </c>
      <c r="R41" s="74">
        <f ca="1">VALUE(OFFSET(SourceData!$A$4,$B$40+R$2-2011,SourceData!$D$1+General!$B$1))</f>
        <v>13284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3.2940569364410477E-2</v>
      </c>
      <c r="E42" s="21">
        <f t="shared" ref="E42:R42" ca="1" si="18">E41/D41-1</f>
        <v>6.4113238967526964E-2</v>
      </c>
      <c r="F42" s="21">
        <f t="shared" ca="1" si="18"/>
        <v>6.4006259780907682E-2</v>
      </c>
      <c r="G42" s="21">
        <f t="shared" ca="1" si="18"/>
        <v>6.5597882041476652E-2</v>
      </c>
      <c r="H42" s="21">
        <f t="shared" ca="1" si="18"/>
        <v>6.70807453416149E-2</v>
      </c>
      <c r="I42" s="21">
        <f t="shared" ca="1" si="18"/>
        <v>6.0276807657482889E-2</v>
      </c>
      <c r="J42" s="21">
        <f t="shared" ca="1" si="18"/>
        <v>5.8923996584116178E-2</v>
      </c>
      <c r="K42" s="21">
        <f t="shared" ca="1" si="18"/>
        <v>5.7834101382488567E-2</v>
      </c>
      <c r="L42" s="21">
        <f t="shared" ca="1" si="18"/>
        <v>5.6741450664343329E-2</v>
      </c>
      <c r="M42" s="21">
        <f t="shared" ca="1" si="18"/>
        <v>5.5755951767494594E-2</v>
      </c>
      <c r="N42" s="21">
        <f t="shared" ca="1" si="18"/>
        <v>5.4959000390472523E-2</v>
      </c>
      <c r="O42" s="21">
        <f t="shared" ca="1" si="18"/>
        <v>5.4039048764689568E-2</v>
      </c>
      <c r="P42" s="21">
        <f t="shared" ca="1" si="18"/>
        <v>5.3287683258713026E-2</v>
      </c>
      <c r="Q42" s="21">
        <f t="shared" ca="1" si="18"/>
        <v>5.2508751458576475E-2</v>
      </c>
      <c r="R42" s="21">
        <f t="shared" ca="1" si="18"/>
        <v>5.1948051948051965E-2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912</v>
      </c>
      <c r="D44" s="74">
        <f ca="1">VALUE(OFFSET(SourceData!$A$4,$B$40+D$2-2011,SourceData!$J$1+General!$B$1))</f>
        <v>968</v>
      </c>
      <c r="E44" s="74">
        <f ca="1">VALUE(OFFSET(SourceData!$A$4,$B$40+E$2-2011,SourceData!$J$1+General!$B$1))</f>
        <v>1030</v>
      </c>
      <c r="F44" s="74">
        <f ca="1">VALUE(OFFSET(SourceData!$A$4,$B$40+F$2-2011,SourceData!$J$1+General!$B$1))</f>
        <v>1096</v>
      </c>
      <c r="G44" s="74">
        <f ca="1">VALUE(OFFSET(SourceData!$A$4,$B$40+G$2-2011,SourceData!$J$1+General!$B$1))</f>
        <v>1168</v>
      </c>
      <c r="H44" s="74">
        <f ca="1">VALUE(OFFSET(SourceData!$A$4,$B$40+H$2-2011,SourceData!$J$1+General!$B$1))</f>
        <v>1247</v>
      </c>
      <c r="I44" s="74">
        <f ca="1">VALUE(OFFSET(SourceData!$A$4,$B$40+I$2-2011,SourceData!$J$1+General!$B$1))</f>
        <v>1322</v>
      </c>
      <c r="J44" s="74">
        <f ca="1">VALUE(OFFSET(SourceData!$A$4,$B$40+J$2-2011,SourceData!$J$1+General!$B$1))</f>
        <v>1400</v>
      </c>
      <c r="K44" s="74">
        <f ca="1">VALUE(OFFSET(SourceData!$A$4,$B$40+K$2-2011,SourceData!$J$1+General!$B$1))</f>
        <v>1480</v>
      </c>
      <c r="L44" s="74">
        <f ca="1">VALUE(OFFSET(SourceData!$A$4,$B$40+L$2-2011,SourceData!$J$1+General!$B$1))</f>
        <v>1564</v>
      </c>
      <c r="M44" s="74">
        <f ca="1">VALUE(OFFSET(SourceData!$A$4,$B$40+M$2-2011,SourceData!$J$1+General!$B$1))</f>
        <v>1652</v>
      </c>
      <c r="N44" s="74">
        <f ca="1">VALUE(OFFSET(SourceData!$A$4,$B$40+N$2-2011,SourceData!$J$1+General!$B$1))</f>
        <v>1742</v>
      </c>
      <c r="O44" s="74">
        <f ca="1">VALUE(OFFSET(SourceData!$A$4,$B$40+O$2-2011,SourceData!$J$1+General!$B$1))</f>
        <v>1837</v>
      </c>
      <c r="P44" s="74">
        <f ca="1">VALUE(OFFSET(SourceData!$A$4,$B$40+P$2-2011,SourceData!$J$1+General!$B$1))</f>
        <v>1934</v>
      </c>
      <c r="Q44" s="74">
        <f ca="1">VALUE(OFFSET(SourceData!$A$4,$B$40+Q$2-2011,SourceData!$J$1+General!$B$1))</f>
        <v>2036</v>
      </c>
      <c r="R44" s="74">
        <f ca="1">VALUE(OFFSET(SourceData!$A$4,$B$40+R$2-2011,SourceData!$J$1+General!$B$1))</f>
        <v>2142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6.1403508771929793E-2</v>
      </c>
      <c r="E45" s="17">
        <f t="shared" ref="E45:R45" ca="1" si="19">E44/D44-1</f>
        <v>6.4049586776859568E-2</v>
      </c>
      <c r="F45" s="17">
        <f t="shared" ca="1" si="19"/>
        <v>6.4077669902912637E-2</v>
      </c>
      <c r="G45" s="17">
        <f t="shared" ca="1" si="19"/>
        <v>6.5693430656934337E-2</v>
      </c>
      <c r="H45" s="17">
        <f t="shared" ca="1" si="19"/>
        <v>6.7636986301369939E-2</v>
      </c>
      <c r="I45" s="17">
        <f t="shared" ca="1" si="19"/>
        <v>6.0144346431435514E-2</v>
      </c>
      <c r="J45" s="17">
        <f t="shared" ca="1" si="19"/>
        <v>5.9001512859303995E-2</v>
      </c>
      <c r="K45" s="17">
        <f t="shared" ca="1" si="19"/>
        <v>5.7142857142857162E-2</v>
      </c>
      <c r="L45" s="17">
        <f t="shared" ca="1" si="19"/>
        <v>5.6756756756756843E-2</v>
      </c>
      <c r="M45" s="17">
        <f t="shared" ca="1" si="19"/>
        <v>5.6265984654731538E-2</v>
      </c>
      <c r="N45" s="17">
        <f t="shared" ca="1" si="19"/>
        <v>5.4479418886198561E-2</v>
      </c>
      <c r="O45" s="17">
        <f t="shared" ca="1" si="19"/>
        <v>5.4535017221584381E-2</v>
      </c>
      <c r="P45" s="17">
        <f t="shared" ca="1" si="19"/>
        <v>5.2803483941208595E-2</v>
      </c>
      <c r="Q45" s="17">
        <f t="shared" ca="1" si="19"/>
        <v>5.2740434332988695E-2</v>
      </c>
      <c r="R45" s="17">
        <f t="shared" ca="1" si="19"/>
        <v>5.2062868369351589E-2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435.32877186208981</v>
      </c>
      <c r="D47" s="74">
        <f ca="1">VALUE(OFFSET(SourceData!$A$4,$B$40+D$2-2011,SourceData!$U$1+General!$B$1))</f>
        <v>256.97650025639376</v>
      </c>
      <c r="E47" s="74">
        <f ca="1">VALUE(OFFSET(SourceData!$A$4,$B$40+E$2-2011,SourceData!$U$1+General!$B$1))</f>
        <v>193.81757197324731</v>
      </c>
      <c r="F47" s="74">
        <f ca="1">VALUE(OFFSET(SourceData!$A$4,$B$40+F$2-2011,SourceData!$U$1+General!$B$1))</f>
        <v>146.18165928839733</v>
      </c>
      <c r="G47" s="74">
        <f ca="1">VALUE(OFFSET(SourceData!$A$4,$B$40+G$2-2011,SourceData!$U$1+General!$B$1))</f>
        <v>110.2535610922763</v>
      </c>
      <c r="H47" s="74">
        <f ca="1">VALUE(OFFSET(SourceData!$A$4,$B$40+H$2-2011,SourceData!$U$1+General!$B$1))</f>
        <v>83.155765180817937</v>
      </c>
      <c r="I47" s="74">
        <f ca="1">VALUE(OFFSET(SourceData!$A$4,$B$40+I$2-2011,SourceData!$U$1+General!$B$1))</f>
        <v>62.717985834670223</v>
      </c>
      <c r="J47" s="74">
        <f ca="1">VALUE(OFFSET(SourceData!$A$4,$B$40+J$2-2011,SourceData!$U$1+General!$B$1))</f>
        <v>47.303343774236239</v>
      </c>
      <c r="K47" s="74">
        <f ca="1">VALUE(OFFSET(SourceData!$A$4,$B$40+K$2-2011,SourceData!$U$1+General!$B$1))</f>
        <v>35.677267094037248</v>
      </c>
      <c r="L47" s="74">
        <f ca="1">VALUE(OFFSET(SourceData!$A$4,$B$40+L$2-2011,SourceData!$U$1+General!$B$1))</f>
        <v>26.908613339772824</v>
      </c>
      <c r="M47" s="74">
        <f ca="1">VALUE(OFFSET(SourceData!$A$4,$B$40+M$2-2011,SourceData!$U$1+General!$B$1))</f>
        <v>20.295093510411132</v>
      </c>
      <c r="N47" s="74">
        <f ca="1">VALUE(OFFSET(SourceData!$A$4,$B$40+N$2-2011,SourceData!$U$1+General!$B$1))</f>
        <v>15.30702512966465</v>
      </c>
      <c r="O47" s="74">
        <f ca="1">VALUE(OFFSET(SourceData!$A$4,$B$40+O$2-2011,SourceData!$U$1+General!$B$1))</f>
        <v>11.544909522096537</v>
      </c>
      <c r="P47" s="74">
        <f ca="1">VALUE(OFFSET(SourceData!$A$4,$B$40+P$2-2011,SourceData!$U$1+General!$B$1))</f>
        <v>8.7074356215102995</v>
      </c>
      <c r="Q47" s="74">
        <f ca="1">VALUE(OFFSET(SourceData!$A$4,$B$40+Q$2-2011,SourceData!$U$1+General!$B$1))</f>
        <v>6.5673477091899954</v>
      </c>
      <c r="R47" s="74">
        <f ca="1">VALUE(OFFSET(SourceData!$A$4,$B$40+R$2-2011,SourceData!$U$1+General!$B$1))</f>
        <v>4.9532443084456821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2"/>
  <sheetViews>
    <sheetView workbookViewId="0">
      <selection activeCell="C17" sqref="C17:C31"/>
    </sheetView>
  </sheetViews>
  <sheetFormatPr defaultRowHeight="15" x14ac:dyDescent="0.25"/>
  <cols>
    <col min="1" max="1" width="5" bestFit="1" customWidth="1"/>
    <col min="2" max="2" width="15.85546875" bestFit="1" customWidth="1"/>
    <col min="3" max="3" width="11.7109375" bestFit="1" customWidth="1"/>
    <col min="4" max="4" width="12" bestFit="1" customWidth="1"/>
    <col min="5" max="6" width="11.7109375" bestFit="1" customWidth="1"/>
    <col min="7" max="7" width="12" bestFit="1" customWidth="1"/>
    <col min="8" max="8" width="18.85546875" customWidth="1"/>
    <col min="9" max="9" width="24" bestFit="1" customWidth="1"/>
    <col min="10" max="10" width="16.42578125" bestFit="1" customWidth="1"/>
  </cols>
  <sheetData>
    <row r="1" spans="1:10" x14ac:dyDescent="0.25">
      <c r="B1" t="s">
        <v>182</v>
      </c>
    </row>
    <row r="3" spans="1:10" x14ac:dyDescent="0.25">
      <c r="A3" t="s">
        <v>161</v>
      </c>
      <c r="B3" t="s">
        <v>170</v>
      </c>
      <c r="C3" t="s">
        <v>171</v>
      </c>
      <c r="D3" t="s">
        <v>172</v>
      </c>
      <c r="E3" t="s">
        <v>173</v>
      </c>
      <c r="F3" t="s">
        <v>174</v>
      </c>
      <c r="G3" t="s">
        <v>175</v>
      </c>
      <c r="H3" t="s">
        <v>105</v>
      </c>
      <c r="I3" s="125" t="s">
        <v>183</v>
      </c>
      <c r="J3" s="125"/>
    </row>
    <row r="4" spans="1:10" x14ac:dyDescent="0.25">
      <c r="B4" t="s">
        <v>176</v>
      </c>
      <c r="C4" t="s">
        <v>177</v>
      </c>
      <c r="D4" t="s">
        <v>178</v>
      </c>
      <c r="E4" t="s">
        <v>179</v>
      </c>
      <c r="G4" t="s">
        <v>180</v>
      </c>
      <c r="H4" t="s">
        <v>105</v>
      </c>
      <c r="I4" t="s">
        <v>184</v>
      </c>
      <c r="J4" t="s">
        <v>185</v>
      </c>
    </row>
    <row r="5" spans="1:10" x14ac:dyDescent="0.25">
      <c r="B5" t="s">
        <v>181</v>
      </c>
      <c r="C5" t="s">
        <v>181</v>
      </c>
      <c r="D5" t="s">
        <v>181</v>
      </c>
      <c r="E5" t="s">
        <v>181</v>
      </c>
      <c r="F5" t="s">
        <v>181</v>
      </c>
      <c r="G5" t="s">
        <v>181</v>
      </c>
      <c r="H5" t="s">
        <v>105</v>
      </c>
    </row>
    <row r="6" spans="1:10" x14ac:dyDescent="0.25">
      <c r="A6">
        <v>2003</v>
      </c>
      <c r="B6" s="83">
        <v>3768002</v>
      </c>
      <c r="C6" s="83">
        <v>1326911</v>
      </c>
      <c r="D6">
        <v>0</v>
      </c>
      <c r="E6" s="83">
        <v>5062486</v>
      </c>
      <c r="F6" s="83">
        <v>2832633</v>
      </c>
      <c r="G6" s="83"/>
      <c r="I6" s="81">
        <f>(B7-B6)/B6</f>
        <v>6.0419553917434227E-2</v>
      </c>
      <c r="J6" s="81">
        <f t="shared" ref="J6:J10" si="0">(C7-C6)/C6</f>
        <v>6.3176806884561204E-2</v>
      </c>
    </row>
    <row r="7" spans="1:10" x14ac:dyDescent="0.25">
      <c r="A7">
        <v>2004</v>
      </c>
      <c r="B7" s="83">
        <v>3995663</v>
      </c>
      <c r="C7" s="83">
        <v>1410741</v>
      </c>
      <c r="D7">
        <v>0</v>
      </c>
      <c r="E7" s="83">
        <v>5369501</v>
      </c>
      <c r="F7" s="83">
        <v>2973391</v>
      </c>
      <c r="G7" s="83"/>
      <c r="I7" s="81">
        <f t="shared" ref="I7:I10" si="1">(B8-B7)/B7</f>
        <v>4.3840283827740224E-2</v>
      </c>
      <c r="J7" s="81">
        <f t="shared" si="0"/>
        <v>-9.1816995465503586E-3</v>
      </c>
    </row>
    <row r="8" spans="1:10" x14ac:dyDescent="0.25">
      <c r="A8">
        <v>2005</v>
      </c>
      <c r="B8" s="83">
        <v>4170834</v>
      </c>
      <c r="C8" s="83">
        <v>1397788</v>
      </c>
      <c r="D8">
        <v>0</v>
      </c>
      <c r="E8" s="83">
        <v>5529907</v>
      </c>
      <c r="F8" s="83">
        <v>3003972</v>
      </c>
      <c r="G8" s="83"/>
      <c r="I8" s="81">
        <f t="shared" si="1"/>
        <v>7.3813055134776401E-2</v>
      </c>
      <c r="J8" s="81">
        <f t="shared" si="0"/>
        <v>-0.23703666078117711</v>
      </c>
    </row>
    <row r="9" spans="1:10" x14ac:dyDescent="0.25">
      <c r="A9">
        <v>2006</v>
      </c>
      <c r="B9" s="83">
        <v>4478696</v>
      </c>
      <c r="C9" s="83">
        <v>1066461</v>
      </c>
      <c r="D9">
        <v>0</v>
      </c>
      <c r="E9" s="83">
        <v>5511477</v>
      </c>
      <c r="F9" s="83">
        <v>3262878</v>
      </c>
      <c r="G9" s="83"/>
      <c r="I9" s="81">
        <f t="shared" si="1"/>
        <v>5.9012042791026675E-2</v>
      </c>
      <c r="J9" s="81">
        <f t="shared" si="0"/>
        <v>-0.27565283681259795</v>
      </c>
    </row>
    <row r="10" spans="1:10" x14ac:dyDescent="0.25">
      <c r="A10">
        <v>2007</v>
      </c>
      <c r="B10" s="83">
        <v>4742993</v>
      </c>
      <c r="C10" s="83">
        <v>772488</v>
      </c>
      <c r="D10">
        <v>0</v>
      </c>
      <c r="E10" s="83">
        <v>5477542</v>
      </c>
      <c r="F10" s="83">
        <v>3457433</v>
      </c>
      <c r="G10" s="83">
        <v>16625</v>
      </c>
      <c r="I10" s="81">
        <f t="shared" si="1"/>
        <v>7.0701769958336436E-2</v>
      </c>
      <c r="J10" s="81">
        <f t="shared" si="0"/>
        <v>-0.2246416772817183</v>
      </c>
    </row>
    <row r="11" spans="1:10" x14ac:dyDescent="0.25">
      <c r="A11">
        <v>2008</v>
      </c>
      <c r="B11" s="83">
        <v>5078331</v>
      </c>
      <c r="C11" s="83">
        <v>598955</v>
      </c>
      <c r="D11">
        <v>0</v>
      </c>
      <c r="E11" s="83">
        <v>5638220</v>
      </c>
      <c r="F11" s="83">
        <v>3713497</v>
      </c>
      <c r="G11" s="83">
        <v>20616</v>
      </c>
    </row>
    <row r="12" spans="1:10" x14ac:dyDescent="0.25">
      <c r="H12" t="s">
        <v>457</v>
      </c>
      <c r="I12" s="81">
        <f>(SUM(I8:I10))/3</f>
        <v>6.7842289294713171E-2</v>
      </c>
      <c r="J12" s="81">
        <f>(SUM(J8:J10))/3</f>
        <v>-0.24577705829183114</v>
      </c>
    </row>
    <row r="13" spans="1:10" x14ac:dyDescent="0.25">
      <c r="B13" t="s">
        <v>187</v>
      </c>
    </row>
    <row r="14" spans="1:10" x14ac:dyDescent="0.25">
      <c r="B14" t="s">
        <v>1</v>
      </c>
      <c r="C14" t="s">
        <v>1</v>
      </c>
    </row>
    <row r="15" spans="1:10" x14ac:dyDescent="0.25">
      <c r="A15">
        <v>2009</v>
      </c>
      <c r="B15" s="84">
        <f>(B11*(1+I12))/1000</f>
        <v>5422.8566008363105</v>
      </c>
      <c r="C15" s="84">
        <f>(C11*(1+J12))/1000</f>
        <v>451.74560205081627</v>
      </c>
    </row>
    <row r="16" spans="1:10" x14ac:dyDescent="0.25">
      <c r="A16">
        <v>2010</v>
      </c>
      <c r="B16" s="84">
        <f>B15*(1+$I$12)</f>
        <v>5790.755607153993</v>
      </c>
      <c r="C16" s="84">
        <f>C15*(1+$J$12)</f>
        <v>340.71689688249444</v>
      </c>
    </row>
    <row r="17" spans="1:3" x14ac:dyDescent="0.25">
      <c r="A17">
        <v>2011</v>
      </c>
      <c r="B17" s="84">
        <f t="shared" ref="B17:B31" si="2">B16*(1+$I$12)</f>
        <v>6183.6137242895174</v>
      </c>
      <c r="C17" s="84">
        <f t="shared" ref="C17:C31" si="3">C16*(1+$J$12)</f>
        <v>256.97650025639376</v>
      </c>
    </row>
    <row r="18" spans="1:3" x14ac:dyDescent="0.25">
      <c r="A18">
        <v>2012</v>
      </c>
      <c r="B18" s="84">
        <f t="shared" si="2"/>
        <v>6603.1242354595261</v>
      </c>
      <c r="C18" s="84">
        <f t="shared" si="3"/>
        <v>193.81757197324731</v>
      </c>
    </row>
    <row r="19" spans="1:3" x14ac:dyDescent="0.25">
      <c r="A19">
        <v>2013</v>
      </c>
      <c r="B19" s="84">
        <f t="shared" si="2"/>
        <v>7051.0953000905038</v>
      </c>
      <c r="C19" s="84">
        <f t="shared" si="3"/>
        <v>146.18165928839733</v>
      </c>
    </row>
    <row r="20" spans="1:3" x14ac:dyDescent="0.25">
      <c r="A20">
        <v>2014</v>
      </c>
      <c r="B20" s="84">
        <f t="shared" si="2"/>
        <v>7529.4577472838364</v>
      </c>
      <c r="C20" s="84">
        <f t="shared" si="3"/>
        <v>110.2535610922763</v>
      </c>
    </row>
    <row r="21" spans="1:3" x14ac:dyDescent="0.25">
      <c r="A21">
        <v>2015</v>
      </c>
      <c r="B21" s="84">
        <f t="shared" si="2"/>
        <v>8040.2733980073863</v>
      </c>
      <c r="C21" s="84">
        <f t="shared" si="3"/>
        <v>83.155765180817937</v>
      </c>
    </row>
    <row r="22" spans="1:3" x14ac:dyDescent="0.25">
      <c r="A22">
        <v>2016</v>
      </c>
      <c r="B22" s="84">
        <f t="shared" si="2"/>
        <v>8585.7439518835909</v>
      </c>
      <c r="C22" s="84">
        <f t="shared" si="3"/>
        <v>62.717985834670223</v>
      </c>
    </row>
    <row r="23" spans="1:3" x14ac:dyDescent="0.25">
      <c r="A23">
        <v>2017</v>
      </c>
      <c r="B23" s="84">
        <f t="shared" si="2"/>
        <v>9168.2204768776119</v>
      </c>
      <c r="C23" s="84">
        <f t="shared" si="3"/>
        <v>47.303343774236239</v>
      </c>
    </row>
    <row r="24" spans="1:3" x14ac:dyDescent="0.25">
      <c r="A24">
        <v>2018</v>
      </c>
      <c r="B24" s="84">
        <f t="shared" si="2"/>
        <v>9790.2135427876565</v>
      </c>
      <c r="C24" s="84">
        <f t="shared" si="3"/>
        <v>35.677267094037248</v>
      </c>
    </row>
    <row r="25" spans="1:3" x14ac:dyDescent="0.25">
      <c r="A25">
        <v>2019</v>
      </c>
      <c r="B25" s="84">
        <f t="shared" si="2"/>
        <v>10454.404042214475</v>
      </c>
      <c r="C25" s="84">
        <f t="shared" si="3"/>
        <v>26.908613339772824</v>
      </c>
    </row>
    <row r="26" spans="1:3" x14ac:dyDescent="0.25">
      <c r="A26">
        <v>2020</v>
      </c>
      <c r="B26" s="84">
        <f t="shared" si="2"/>
        <v>11163.65474565021</v>
      </c>
      <c r="C26" s="84">
        <f t="shared" si="3"/>
        <v>20.295093510411132</v>
      </c>
    </row>
    <row r="27" spans="1:3" x14ac:dyDescent="0.25">
      <c r="A27">
        <v>2021</v>
      </c>
      <c r="B27" s="84">
        <f t="shared" si="2"/>
        <v>11921.02264049091</v>
      </c>
      <c r="C27" s="84">
        <f t="shared" si="3"/>
        <v>15.30702512966465</v>
      </c>
    </row>
    <row r="28" spans="1:3" x14ac:dyDescent="0.25">
      <c r="A28">
        <v>2022</v>
      </c>
      <c r="B28" s="84">
        <f t="shared" si="2"/>
        <v>12729.772107155921</v>
      </c>
      <c r="C28" s="84">
        <f t="shared" si="3"/>
        <v>11.544909522096537</v>
      </c>
    </row>
    <row r="29" spans="1:3" x14ac:dyDescent="0.25">
      <c r="A29">
        <v>2023</v>
      </c>
      <c r="B29" s="84">
        <f t="shared" si="2"/>
        <v>13593.388989105364</v>
      </c>
      <c r="C29" s="84">
        <f t="shared" si="3"/>
        <v>8.7074356215102995</v>
      </c>
    </row>
    <row r="30" spans="1:3" x14ac:dyDescent="0.25">
      <c r="A30">
        <v>2024</v>
      </c>
      <c r="B30" s="84">
        <f t="shared" si="2"/>
        <v>14515.59561739982</v>
      </c>
      <c r="C30" s="84">
        <f t="shared" si="3"/>
        <v>6.5673477091899954</v>
      </c>
    </row>
    <row r="31" spans="1:3" x14ac:dyDescent="0.25">
      <c r="A31">
        <v>2025</v>
      </c>
      <c r="B31" s="84">
        <f t="shared" si="2"/>
        <v>15500.366854560531</v>
      </c>
      <c r="C31" s="84">
        <f t="shared" si="3"/>
        <v>4.9532443084456821</v>
      </c>
    </row>
    <row r="32" spans="1:3" x14ac:dyDescent="0.25">
      <c r="B32" s="84"/>
      <c r="C32" s="84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8" sqref="C8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193</v>
      </c>
      <c r="B2" s="26" t="str">
        <f>VLOOKUP(A2,General!$A$9:$B$23,2,FALSE)</f>
        <v>TBN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0.14402304368698982</v>
      </c>
      <c r="E4" s="27">
        <f t="shared" ref="E4:R4" ca="1" si="1">E42</f>
        <v>0.1594628619387326</v>
      </c>
      <c r="F4" s="27">
        <f t="shared" ca="1" si="1"/>
        <v>8.7224031849439054E-2</v>
      </c>
      <c r="G4" s="27">
        <f t="shared" ca="1" si="1"/>
        <v>8.7882822902796365E-2</v>
      </c>
      <c r="H4" s="27">
        <f t="shared" ca="1" si="1"/>
        <v>8.5373317013463845E-2</v>
      </c>
      <c r="I4" s="27">
        <f t="shared" ca="1" si="1"/>
        <v>8.2886946715534204E-2</v>
      </c>
      <c r="J4" s="27">
        <f t="shared" ca="1" si="1"/>
        <v>8.0708148919552247E-2</v>
      </c>
      <c r="K4" s="27">
        <f t="shared" ca="1" si="1"/>
        <v>7.8776198506383954E-2</v>
      </c>
      <c r="L4" s="27">
        <f t="shared" ca="1" si="1"/>
        <v>7.6820008932559247E-2</v>
      </c>
      <c r="M4" s="27">
        <f t="shared" ca="1" si="1"/>
        <v>7.5279966818747379E-2</v>
      </c>
      <c r="N4" s="27">
        <f t="shared" ca="1" si="1"/>
        <v>7.3674059787849577E-2</v>
      </c>
      <c r="O4" s="27">
        <f t="shared" ca="1" si="1"/>
        <v>7.257050476019411E-2</v>
      </c>
      <c r="P4" s="27">
        <f t="shared" ca="1" si="1"/>
        <v>7.1009881091944393E-2</v>
      </c>
      <c r="Q4" s="27">
        <f t="shared" ca="1" si="1"/>
        <v>6.9898358092259638E-2</v>
      </c>
      <c r="R4" s="27">
        <f t="shared" ca="1" si="1"/>
        <v>6.8985676702718601E-2</v>
      </c>
      <c r="S4" s="17">
        <f ca="1">$W$4</f>
        <v>6.2793457100255967E-2</v>
      </c>
      <c r="T4" s="17">
        <f t="shared" ref="T4:V4" ca="1" si="2">$W$4</f>
        <v>6.2793457100255967E-2</v>
      </c>
      <c r="U4" s="17">
        <f t="shared" ca="1" si="2"/>
        <v>6.2793457100255967E-2</v>
      </c>
      <c r="V4" s="17">
        <f t="shared" ca="1" si="2"/>
        <v>6.2793457100255967E-2</v>
      </c>
      <c r="W4" s="17">
        <f ca="1">SUMIF(SourceData!$AO$3:$BA$3,$B$2,SourceData!$AO$25:$BA$25)</f>
        <v>6.2793457100255967E-2</v>
      </c>
      <c r="X4" s="73">
        <f ca="1">W4</f>
        <v>6.2793457100255967E-2</v>
      </c>
      <c r="Y4" s="17">
        <f ca="1">SUMIF(SourceData!$AO$3:$BA$3,$B$2,SourceData!$AO$27:$BA$27)</f>
        <v>6.2793457100255967E-2</v>
      </c>
      <c r="Z4" s="17">
        <f ca="1">SUMIF(SourceData!$AO$3:$BA$3,$B$2,SourceData!$AO$28:$BA$28)</f>
        <v>6.2793457100255967E-2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1770.55</v>
      </c>
      <c r="D5" s="7">
        <f t="shared" ref="D5:X5" ca="1" si="3">C5*(1+D4)</f>
        <v>2025.5499999999997</v>
      </c>
      <c r="E5" s="7">
        <f t="shared" ca="1" si="3"/>
        <v>2348.5499999999997</v>
      </c>
      <c r="F5" s="7">
        <f t="shared" ca="1" si="3"/>
        <v>2553.3999999999996</v>
      </c>
      <c r="G5" s="7">
        <f t="shared" ca="1" si="3"/>
        <v>2777.7999999999997</v>
      </c>
      <c r="H5" s="7">
        <f t="shared" ca="1" si="3"/>
        <v>3014.9499999999994</v>
      </c>
      <c r="I5" s="7">
        <f t="shared" ca="1" si="3"/>
        <v>3264.849999999999</v>
      </c>
      <c r="J5" s="7">
        <f t="shared" ca="1" si="3"/>
        <v>3528.349999999999</v>
      </c>
      <c r="K5" s="7">
        <f t="shared" ca="1" si="3"/>
        <v>3806.2999999999988</v>
      </c>
      <c r="L5" s="7">
        <f t="shared" ca="1" si="3"/>
        <v>4098.6999999999989</v>
      </c>
      <c r="M5" s="7">
        <f t="shared" ca="1" si="3"/>
        <v>4407.2499999999991</v>
      </c>
      <c r="N5" s="7">
        <f t="shared" ca="1" si="3"/>
        <v>4731.9499999999989</v>
      </c>
      <c r="O5" s="7">
        <f t="shared" ca="1" si="3"/>
        <v>5075.3499999999995</v>
      </c>
      <c r="P5" s="7">
        <f t="shared" ca="1" si="3"/>
        <v>5435.7499999999991</v>
      </c>
      <c r="Q5" s="7">
        <f t="shared" ca="1" si="3"/>
        <v>5815.6999999999989</v>
      </c>
      <c r="R5" s="7">
        <f t="shared" ca="1" si="3"/>
        <v>6216.9</v>
      </c>
      <c r="S5" s="7">
        <f t="shared" ca="1" si="3"/>
        <v>6607.2806434465811</v>
      </c>
      <c r="T5" s="7">
        <f t="shared" ca="1" si="3"/>
        <v>7022.1746370801957</v>
      </c>
      <c r="U5" s="7">
        <f t="shared" ca="1" si="3"/>
        <v>7463.1212589041961</v>
      </c>
      <c r="V5" s="7">
        <f t="shared" ca="1" si="3"/>
        <v>7931.7564435092054</v>
      </c>
      <c r="W5" s="7">
        <f t="shared" ca="1" si="3"/>
        <v>8429.8188514743797</v>
      </c>
      <c r="X5" s="7">
        <f t="shared" ca="1" si="3"/>
        <v>8959.1563198873646</v>
      </c>
      <c r="Y5" s="7">
        <f ca="1">W5*(1+Y4)^(Y2-W2)</f>
        <v>15499.117227244855</v>
      </c>
      <c r="Z5" s="7">
        <f t="shared" ref="Z5:AA5" ca="1" si="4">Y5*(1+Z4)^(Z2-Y2)</f>
        <v>28496.773069075283</v>
      </c>
      <c r="AA5" s="7">
        <f t="shared" ca="1" si="4"/>
        <v>28496.773069075283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1770.55</v>
      </c>
      <c r="D8" s="8">
        <f t="shared" ca="1" si="6"/>
        <v>2025.5499999999997</v>
      </c>
      <c r="E8" s="8">
        <f t="shared" ca="1" si="6"/>
        <v>2348.5499999999997</v>
      </c>
      <c r="F8" s="8">
        <f t="shared" ca="1" si="6"/>
        <v>2553.3999999999996</v>
      </c>
      <c r="G8" s="8">
        <f t="shared" ca="1" si="6"/>
        <v>2777.7999999999997</v>
      </c>
      <c r="H8" s="8">
        <f t="shared" ca="1" si="6"/>
        <v>3014.9499999999994</v>
      </c>
      <c r="I8" s="8">
        <f t="shared" ca="1" si="6"/>
        <v>3264.849999999999</v>
      </c>
      <c r="J8" s="8">
        <f t="shared" ca="1" si="6"/>
        <v>3528.349999999999</v>
      </c>
      <c r="K8" s="8">
        <f t="shared" ca="1" si="6"/>
        <v>3806.2999999999988</v>
      </c>
      <c r="L8" s="8">
        <f t="shared" ca="1" si="6"/>
        <v>4098.6999999999989</v>
      </c>
      <c r="M8" s="8">
        <f t="shared" ca="1" si="6"/>
        <v>4407.2499999999991</v>
      </c>
      <c r="N8" s="8">
        <f t="shared" ca="1" si="6"/>
        <v>4731.9499999999989</v>
      </c>
      <c r="O8" s="8">
        <f t="shared" ca="1" si="6"/>
        <v>5075.3499999999995</v>
      </c>
      <c r="P8" s="8">
        <f t="shared" ca="1" si="6"/>
        <v>5435.7499999999991</v>
      </c>
      <c r="Q8" s="8">
        <f t="shared" ca="1" si="6"/>
        <v>5815.6999999999989</v>
      </c>
      <c r="R8" s="8">
        <f t="shared" ca="1" si="6"/>
        <v>6216.9</v>
      </c>
      <c r="S8" s="8">
        <f t="shared" ca="1" si="6"/>
        <v>6607.2806434465811</v>
      </c>
      <c r="T8" s="8">
        <f t="shared" ca="1" si="6"/>
        <v>7022.1746370801957</v>
      </c>
      <c r="U8" s="8">
        <f t="shared" ca="1" si="6"/>
        <v>7463.1212589041961</v>
      </c>
      <c r="V8" s="8">
        <f t="shared" ca="1" si="6"/>
        <v>7931.7564435092054</v>
      </c>
      <c r="W8" s="8">
        <f t="shared" ca="1" si="6"/>
        <v>8429.8188514743797</v>
      </c>
      <c r="X8" s="8">
        <f t="shared" ca="1" si="6"/>
        <v>8959.1563198873646</v>
      </c>
      <c r="Y8" s="8">
        <f t="shared" ca="1" si="6"/>
        <v>15499.117227244855</v>
      </c>
      <c r="Z8" s="8">
        <f t="shared" ca="1" si="6"/>
        <v>28496.773069075283</v>
      </c>
      <c r="AA8" s="8">
        <f t="shared" ca="1" si="6"/>
        <v>28496.773069075283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2083</v>
      </c>
      <c r="D11" s="8">
        <f t="shared" ca="1" si="8"/>
        <v>2382.9999999999995</v>
      </c>
      <c r="E11" s="8">
        <f t="shared" ca="1" si="8"/>
        <v>2762.9999999999995</v>
      </c>
      <c r="F11" s="8">
        <f t="shared" ca="1" si="8"/>
        <v>3003.9999999999995</v>
      </c>
      <c r="G11" s="8">
        <f t="shared" ca="1" si="8"/>
        <v>3267.9999999999995</v>
      </c>
      <c r="H11" s="8">
        <f t="shared" ca="1" si="8"/>
        <v>3546.9999999999995</v>
      </c>
      <c r="I11" s="8">
        <f t="shared" ca="1" si="8"/>
        <v>3840.9999999999991</v>
      </c>
      <c r="J11" s="8">
        <f t="shared" ca="1" si="8"/>
        <v>4150.9999999999991</v>
      </c>
      <c r="K11" s="8">
        <f t="shared" ca="1" si="8"/>
        <v>4477.9999999999991</v>
      </c>
      <c r="L11" s="8">
        <f t="shared" ca="1" si="8"/>
        <v>4821.9999999999991</v>
      </c>
      <c r="M11" s="8">
        <f t="shared" ca="1" si="8"/>
        <v>5184.9999999999991</v>
      </c>
      <c r="N11" s="8">
        <f t="shared" ca="1" si="8"/>
        <v>5566.9999999999991</v>
      </c>
      <c r="O11" s="8">
        <f t="shared" ca="1" si="8"/>
        <v>5970.9999999999991</v>
      </c>
      <c r="P11" s="8">
        <f t="shared" ca="1" si="8"/>
        <v>6394.9999999999991</v>
      </c>
      <c r="Q11" s="8">
        <f t="shared" ca="1" si="8"/>
        <v>6841.9999999999991</v>
      </c>
      <c r="R11" s="8">
        <f t="shared" ca="1" si="8"/>
        <v>7314</v>
      </c>
      <c r="S11" s="8">
        <f t="shared" ca="1" si="8"/>
        <v>7773.2713452312719</v>
      </c>
      <c r="T11" s="8">
        <f t="shared" ca="1" si="8"/>
        <v>8261.3819259767006</v>
      </c>
      <c r="U11" s="8">
        <f t="shared" ca="1" si="8"/>
        <v>8780.1426575343485</v>
      </c>
      <c r="V11" s="8">
        <f t="shared" ca="1" si="8"/>
        <v>9331.4781688343592</v>
      </c>
      <c r="W11" s="8">
        <f t="shared" ca="1" si="8"/>
        <v>9917.433942911035</v>
      </c>
      <c r="X11" s="8">
        <f t="shared" ca="1" si="8"/>
        <v>10540.183905749842</v>
      </c>
      <c r="Y11" s="8">
        <f t="shared" ca="1" si="8"/>
        <v>18234.255561464535</v>
      </c>
      <c r="Z11" s="8">
        <f t="shared" ca="1" si="8"/>
        <v>33525.615375382687</v>
      </c>
      <c r="AA11" s="8">
        <f t="shared" ca="1" si="8"/>
        <v>33525.615375382687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2083</v>
      </c>
      <c r="D20" s="39">
        <f t="shared" ca="1" si="13"/>
        <v>2382.9999999999995</v>
      </c>
      <c r="E20" s="39">
        <f t="shared" ca="1" si="13"/>
        <v>2762.9999999999995</v>
      </c>
      <c r="F20" s="39">
        <f t="shared" ca="1" si="13"/>
        <v>3003.9999999999995</v>
      </c>
      <c r="G20" s="39">
        <f t="shared" ca="1" si="13"/>
        <v>3267.9999999999995</v>
      </c>
      <c r="H20" s="39">
        <f t="shared" ca="1" si="13"/>
        <v>3546.9999999999995</v>
      </c>
      <c r="I20" s="39">
        <f t="shared" ca="1" si="13"/>
        <v>3840.9999999999991</v>
      </c>
      <c r="J20" s="39">
        <f t="shared" ca="1" si="13"/>
        <v>4150.9999999999991</v>
      </c>
      <c r="K20" s="39">
        <f t="shared" ca="1" si="13"/>
        <v>4477.9999999999991</v>
      </c>
      <c r="L20" s="39">
        <f t="shared" ca="1" si="13"/>
        <v>4821.9999999999991</v>
      </c>
      <c r="M20" s="39">
        <f t="shared" ca="1" si="13"/>
        <v>5184.9999999999991</v>
      </c>
      <c r="N20" s="39">
        <f t="shared" ca="1" si="13"/>
        <v>5566.9999999999991</v>
      </c>
      <c r="O20" s="39">
        <f t="shared" ca="1" si="13"/>
        <v>5970.9999999999991</v>
      </c>
      <c r="P20" s="39">
        <f t="shared" ca="1" si="13"/>
        <v>6394.9999999999991</v>
      </c>
      <c r="Q20" s="39">
        <f t="shared" ca="1" si="13"/>
        <v>6841.9999999999991</v>
      </c>
      <c r="R20" s="39">
        <f t="shared" ca="1" si="13"/>
        <v>7314</v>
      </c>
      <c r="S20" s="39">
        <f t="shared" ca="1" si="13"/>
        <v>7773.2713452312719</v>
      </c>
      <c r="T20" s="39">
        <f t="shared" ca="1" si="13"/>
        <v>8261.3819259767006</v>
      </c>
      <c r="U20" s="39">
        <f t="shared" ca="1" si="13"/>
        <v>8780.1426575343485</v>
      </c>
      <c r="V20" s="39">
        <f t="shared" ca="1" si="13"/>
        <v>9331.4781688343592</v>
      </c>
      <c r="W20" s="39">
        <f t="shared" ca="1" si="13"/>
        <v>9917.433942911035</v>
      </c>
      <c r="X20" s="39">
        <f t="shared" ca="1" si="13"/>
        <v>10540.183905749842</v>
      </c>
      <c r="Y20" s="39">
        <f t="shared" ca="1" si="13"/>
        <v>18234.255561464535</v>
      </c>
      <c r="Z20" s="39">
        <f t="shared" ca="1" si="13"/>
        <v>33525.615375382687</v>
      </c>
      <c r="AA20" s="39">
        <f t="shared" ca="1" si="13"/>
        <v>33525.615375382687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 t="e">
        <v>#N/A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 t="e">
        <f ca="1">(C21+C25)/C11-1</f>
        <v>#N/A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 t="e">
        <f ca="1">(C21+C25-C13)/C11-1</f>
        <v>#N/A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 t="e">
        <f ca="1">C25/C11-1</f>
        <v>#N/A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 t="e">
        <f ca="1">(C25-C13)/C11-1</f>
        <v>#N/A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 t="e">
        <v>#N/A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 t="e">
        <f ca="1">C30/C11-1</f>
        <v>#N/A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 t="e">
        <f ca="1">(C30-C13)/C11-1</f>
        <v>#N/A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330</v>
      </c>
      <c r="D33" s="23">
        <f ca="1">D20/(D34*8.76)</f>
        <v>169.99999999999997</v>
      </c>
      <c r="E33" s="23">
        <f ca="1">E20/(E34*8.76)</f>
        <v>210.99999999999994</v>
      </c>
      <c r="F33" s="23">
        <f t="shared" ref="F33:X33" ca="1" si="14">F20/(F34*8.76)</f>
        <v>234.99999999999997</v>
      </c>
      <c r="G33" s="23">
        <f t="shared" ca="1" si="14"/>
        <v>255.99999999999997</v>
      </c>
      <c r="H33" s="23">
        <f t="shared" ca="1" si="14"/>
        <v>278.99999999999994</v>
      </c>
      <c r="I33" s="23">
        <f t="shared" ca="1" si="14"/>
        <v>304.99999999999994</v>
      </c>
      <c r="J33" s="23">
        <f t="shared" ca="1" si="14"/>
        <v>333.99999999999994</v>
      </c>
      <c r="K33" s="23">
        <f t="shared" ca="1" si="14"/>
        <v>363.99999999999994</v>
      </c>
      <c r="L33" s="23">
        <f t="shared" ca="1" si="14"/>
        <v>394.99999999999989</v>
      </c>
      <c r="M33" s="23">
        <f t="shared" ca="1" si="14"/>
        <v>425.99999999999994</v>
      </c>
      <c r="N33" s="23">
        <f t="shared" ca="1" si="14"/>
        <v>456.99999999999994</v>
      </c>
      <c r="O33" s="23">
        <f t="shared" ca="1" si="14"/>
        <v>489.99999999999989</v>
      </c>
      <c r="P33" s="23">
        <f t="shared" ca="1" si="14"/>
        <v>525</v>
      </c>
      <c r="Q33" s="23">
        <f t="shared" ca="1" si="14"/>
        <v>560.99999999999989</v>
      </c>
      <c r="R33" s="23">
        <f t="shared" ca="1" si="14"/>
        <v>600</v>
      </c>
      <c r="S33" s="23">
        <f t="shared" ca="1" si="14"/>
        <v>637.67607426015354</v>
      </c>
      <c r="T33" s="23">
        <f t="shared" ca="1" si="14"/>
        <v>677.71795947306816</v>
      </c>
      <c r="U33" s="23">
        <f t="shared" ca="1" si="14"/>
        <v>720.27421308731323</v>
      </c>
      <c r="V33" s="23">
        <f t="shared" ca="1" si="14"/>
        <v>765.50272098723212</v>
      </c>
      <c r="W33" s="23">
        <f t="shared" ca="1" si="14"/>
        <v>813.57128325767314</v>
      </c>
      <c r="X33" s="23">
        <f t="shared" ca="1" si="14"/>
        <v>864.65823673091404</v>
      </c>
    </row>
    <row r="34" spans="1:24" ht="15" x14ac:dyDescent="0.25">
      <c r="A34" s="1" t="s">
        <v>7</v>
      </c>
      <c r="C34" s="77">
        <f ca="1">C41/(C44*8.76)</f>
        <v>0.72056178220561784</v>
      </c>
      <c r="D34" s="77">
        <f ca="1">D41/(D44*8.76)</f>
        <v>1.6001880204136449</v>
      </c>
      <c r="E34" s="77">
        <f t="shared" ref="E34:R34" ca="1" si="15">E41/(E44*8.76)</f>
        <v>1.4948386677919887</v>
      </c>
      <c r="F34" s="77">
        <f t="shared" ca="1" si="15"/>
        <v>1.4592441465073351</v>
      </c>
      <c r="G34" s="77">
        <f t="shared" ca="1" si="15"/>
        <v>1.4572631278538812</v>
      </c>
      <c r="H34" s="77">
        <f t="shared" ca="1" si="15"/>
        <v>1.4512855763408128</v>
      </c>
      <c r="I34" s="77">
        <f t="shared" ca="1" si="15"/>
        <v>1.4376076053596827</v>
      </c>
      <c r="J34" s="77">
        <f t="shared" ca="1" si="15"/>
        <v>1.4187378667322887</v>
      </c>
      <c r="K34" s="77">
        <f t="shared" ca="1" si="15"/>
        <v>1.4043604797029454</v>
      </c>
      <c r="L34" s="77">
        <f t="shared" ca="1" si="15"/>
        <v>1.3935610658343449</v>
      </c>
      <c r="M34" s="77">
        <f t="shared" ca="1" si="15"/>
        <v>1.3894248290350935</v>
      </c>
      <c r="N34" s="77">
        <f t="shared" ca="1" si="15"/>
        <v>1.3905958054814505</v>
      </c>
      <c r="O34" s="77">
        <f t="shared" ca="1" si="15"/>
        <v>1.3910632746249185</v>
      </c>
      <c r="P34" s="77">
        <f t="shared" ca="1" si="15"/>
        <v>1.390519678190911</v>
      </c>
      <c r="Q34" s="77">
        <f t="shared" ca="1" si="15"/>
        <v>1.3922463962754053</v>
      </c>
      <c r="R34" s="77">
        <f t="shared" ca="1" si="15"/>
        <v>1.3915525114155252</v>
      </c>
      <c r="S34" s="14">
        <f t="shared" ref="S34:X34" ca="1" si="16">R34</f>
        <v>1.3915525114155252</v>
      </c>
      <c r="T34" s="14">
        <f t="shared" ca="1" si="16"/>
        <v>1.3915525114155252</v>
      </c>
      <c r="U34" s="14">
        <f t="shared" ca="1" si="16"/>
        <v>1.3915525114155252</v>
      </c>
      <c r="V34" s="14">
        <f t="shared" ca="1" si="16"/>
        <v>1.3915525114155252</v>
      </c>
      <c r="W34" s="14">
        <f t="shared" ca="1" si="16"/>
        <v>1.3915525114155252</v>
      </c>
      <c r="X34" s="14">
        <f t="shared" ca="1" si="16"/>
        <v>1.3915525114155252</v>
      </c>
    </row>
    <row r="35" spans="1:24" ht="15" x14ac:dyDescent="0.25">
      <c r="A35" s="1" t="s">
        <v>8</v>
      </c>
      <c r="C35" s="15"/>
      <c r="D35" s="15">
        <f t="shared" ref="D35:X35" ca="1" si="17">D33/C33-1</f>
        <v>-0.48484848484848497</v>
      </c>
      <c r="E35" s="15">
        <f t="shared" ca="1" si="17"/>
        <v>0.2411764705882351</v>
      </c>
      <c r="F35" s="15">
        <f t="shared" ca="1" si="17"/>
        <v>0.11374407582938395</v>
      </c>
      <c r="G35" s="15">
        <f t="shared" ca="1" si="17"/>
        <v>8.9361702127659592E-2</v>
      </c>
      <c r="H35" s="15">
        <f t="shared" ca="1" si="17"/>
        <v>8.984375E-2</v>
      </c>
      <c r="I35" s="15">
        <f t="shared" ca="1" si="17"/>
        <v>9.3189964157706084E-2</v>
      </c>
      <c r="J35" s="15">
        <f t="shared" ca="1" si="17"/>
        <v>9.5081967213114682E-2</v>
      </c>
      <c r="K35" s="15">
        <f t="shared" ca="1" si="17"/>
        <v>8.9820359281437057E-2</v>
      </c>
      <c r="L35" s="15">
        <f t="shared" ca="1" si="17"/>
        <v>8.5164835164835084E-2</v>
      </c>
      <c r="M35" s="15">
        <f t="shared" ca="1" si="17"/>
        <v>7.8481012658228044E-2</v>
      </c>
      <c r="N35" s="15">
        <f t="shared" ca="1" si="17"/>
        <v>7.2769953051643244E-2</v>
      </c>
      <c r="O35" s="15">
        <f t="shared" ca="1" si="17"/>
        <v>7.2210065645514021E-2</v>
      </c>
      <c r="P35" s="15">
        <f t="shared" ca="1" si="17"/>
        <v>7.1428571428571619E-2</v>
      </c>
      <c r="Q35" s="15">
        <f t="shared" ca="1" si="17"/>
        <v>6.8571428571428283E-2</v>
      </c>
      <c r="R35" s="15">
        <f t="shared" ca="1" si="17"/>
        <v>6.9518716577540385E-2</v>
      </c>
      <c r="S35" s="15">
        <f t="shared" ca="1" si="17"/>
        <v>6.2793457100255967E-2</v>
      </c>
      <c r="T35" s="15">
        <f t="shared" ca="1" si="17"/>
        <v>6.2793457100255967E-2</v>
      </c>
      <c r="U35" s="15">
        <f t="shared" ca="1" si="17"/>
        <v>6.2793457100255967E-2</v>
      </c>
      <c r="V35" s="15">
        <f t="shared" ca="1" si="17"/>
        <v>6.2793457100255967E-2</v>
      </c>
      <c r="W35" s="15">
        <f t="shared" ca="1" si="17"/>
        <v>6.2793457100255967E-2</v>
      </c>
      <c r="X35" s="15">
        <f t="shared" ca="1" si="17"/>
        <v>6.2793457100255967E-2</v>
      </c>
    </row>
    <row r="36" spans="1:24" ht="15" x14ac:dyDescent="0.25">
      <c r="A36" s="1" t="s">
        <v>93</v>
      </c>
      <c r="B36" s="2" t="s">
        <v>9</v>
      </c>
      <c r="C36" s="24" t="e">
        <v>#N/A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 t="e">
        <f ca="1">MAX(0,C33-C36)</f>
        <v>#N/A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163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2083</v>
      </c>
      <c r="D41" s="74">
        <f ca="1">VALUE(OFFSET(SourceData!$A$4,$B$40+D$2-2011,SourceData!$D$1+General!$B$1))</f>
        <v>2383</v>
      </c>
      <c r="E41" s="74">
        <f ca="1">VALUE(OFFSET(SourceData!$A$4,$B$40+E$2-2011,SourceData!$D$1+General!$B$1))</f>
        <v>2763</v>
      </c>
      <c r="F41" s="74">
        <f ca="1">VALUE(OFFSET(SourceData!$A$4,$B$40+F$2-2011,SourceData!$D$1+General!$B$1))</f>
        <v>3004</v>
      </c>
      <c r="G41" s="74">
        <f ca="1">VALUE(OFFSET(SourceData!$A$4,$B$40+G$2-2011,SourceData!$D$1+General!$B$1))</f>
        <v>3268</v>
      </c>
      <c r="H41" s="74">
        <f ca="1">VALUE(OFFSET(SourceData!$A$4,$B$40+H$2-2011,SourceData!$D$1+General!$B$1))</f>
        <v>3547</v>
      </c>
      <c r="I41" s="74">
        <f ca="1">VALUE(OFFSET(SourceData!$A$4,$B$40+I$2-2011,SourceData!$D$1+General!$B$1))</f>
        <v>3841</v>
      </c>
      <c r="J41" s="74">
        <f ca="1">VALUE(OFFSET(SourceData!$A$4,$B$40+J$2-2011,SourceData!$D$1+General!$B$1))</f>
        <v>4151</v>
      </c>
      <c r="K41" s="74">
        <f ca="1">VALUE(OFFSET(SourceData!$A$4,$B$40+K$2-2011,SourceData!$D$1+General!$B$1))</f>
        <v>4478</v>
      </c>
      <c r="L41" s="74">
        <f ca="1">VALUE(OFFSET(SourceData!$A$4,$B$40+L$2-2011,SourceData!$D$1+General!$B$1))</f>
        <v>4822</v>
      </c>
      <c r="M41" s="74">
        <f ca="1">VALUE(OFFSET(SourceData!$A$4,$B$40+M$2-2011,SourceData!$D$1+General!$B$1))</f>
        <v>5185</v>
      </c>
      <c r="N41" s="74">
        <f ca="1">VALUE(OFFSET(SourceData!$A$4,$B$40+N$2-2011,SourceData!$D$1+General!$B$1))</f>
        <v>5567</v>
      </c>
      <c r="O41" s="74">
        <f ca="1">VALUE(OFFSET(SourceData!$A$4,$B$40+O$2-2011,SourceData!$D$1+General!$B$1))</f>
        <v>5971</v>
      </c>
      <c r="P41" s="74">
        <f ca="1">VALUE(OFFSET(SourceData!$A$4,$B$40+P$2-2011,SourceData!$D$1+General!$B$1))</f>
        <v>6395</v>
      </c>
      <c r="Q41" s="74">
        <f ca="1">VALUE(OFFSET(SourceData!$A$4,$B$40+Q$2-2011,SourceData!$D$1+General!$B$1))</f>
        <v>6842</v>
      </c>
      <c r="R41" s="74">
        <f ca="1">VALUE(OFFSET(SourceData!$A$4,$B$40+R$2-2011,SourceData!$D$1+General!$B$1))</f>
        <v>7314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0.14402304368698982</v>
      </c>
      <c r="E42" s="21">
        <f t="shared" ref="E42:R42" ca="1" si="18">E41/D41-1</f>
        <v>0.1594628619387326</v>
      </c>
      <c r="F42" s="21">
        <f t="shared" ca="1" si="18"/>
        <v>8.7224031849439054E-2</v>
      </c>
      <c r="G42" s="21">
        <f t="shared" ca="1" si="18"/>
        <v>8.7882822902796365E-2</v>
      </c>
      <c r="H42" s="21">
        <f t="shared" ca="1" si="18"/>
        <v>8.5373317013463845E-2</v>
      </c>
      <c r="I42" s="21">
        <f t="shared" ca="1" si="18"/>
        <v>8.2886946715534204E-2</v>
      </c>
      <c r="J42" s="21">
        <f t="shared" ca="1" si="18"/>
        <v>8.0708148919552247E-2</v>
      </c>
      <c r="K42" s="21">
        <f t="shared" ca="1" si="18"/>
        <v>7.8776198506383954E-2</v>
      </c>
      <c r="L42" s="21">
        <f t="shared" ca="1" si="18"/>
        <v>7.6820008932559247E-2</v>
      </c>
      <c r="M42" s="21">
        <f t="shared" ca="1" si="18"/>
        <v>7.5279966818747379E-2</v>
      </c>
      <c r="N42" s="21">
        <f t="shared" ca="1" si="18"/>
        <v>7.3674059787849577E-2</v>
      </c>
      <c r="O42" s="21">
        <f t="shared" ca="1" si="18"/>
        <v>7.257050476019411E-2</v>
      </c>
      <c r="P42" s="21">
        <f t="shared" ca="1" si="18"/>
        <v>7.1009881091944393E-2</v>
      </c>
      <c r="Q42" s="21">
        <f t="shared" ca="1" si="18"/>
        <v>6.9898358092259638E-2</v>
      </c>
      <c r="R42" s="21">
        <f t="shared" ca="1" si="18"/>
        <v>6.8985676702718601E-2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330</v>
      </c>
      <c r="D44" s="74">
        <f ca="1">VALUE(OFFSET(SourceData!$A$4,$B$40+D$2-2011,SourceData!$J$1+General!$B$1))</f>
        <v>170</v>
      </c>
      <c r="E44" s="74">
        <f ca="1">VALUE(OFFSET(SourceData!$A$4,$B$40+E$2-2011,SourceData!$J$1+General!$B$1))</f>
        <v>211</v>
      </c>
      <c r="F44" s="74">
        <f ca="1">VALUE(OFFSET(SourceData!$A$4,$B$40+F$2-2011,SourceData!$J$1+General!$B$1))</f>
        <v>235</v>
      </c>
      <c r="G44" s="74">
        <f ca="1">VALUE(OFFSET(SourceData!$A$4,$B$40+G$2-2011,SourceData!$J$1+General!$B$1))</f>
        <v>256</v>
      </c>
      <c r="H44" s="74">
        <f ca="1">VALUE(OFFSET(SourceData!$A$4,$B$40+H$2-2011,SourceData!$J$1+General!$B$1))</f>
        <v>279</v>
      </c>
      <c r="I44" s="74">
        <f ca="1">VALUE(OFFSET(SourceData!$A$4,$B$40+I$2-2011,SourceData!$J$1+General!$B$1))</f>
        <v>305</v>
      </c>
      <c r="J44" s="74">
        <f ca="1">VALUE(OFFSET(SourceData!$A$4,$B$40+J$2-2011,SourceData!$J$1+General!$B$1))</f>
        <v>334</v>
      </c>
      <c r="K44" s="74">
        <f ca="1">VALUE(OFFSET(SourceData!$A$4,$B$40+K$2-2011,SourceData!$J$1+General!$B$1))</f>
        <v>364</v>
      </c>
      <c r="L44" s="74">
        <f ca="1">VALUE(OFFSET(SourceData!$A$4,$B$40+L$2-2011,SourceData!$J$1+General!$B$1))</f>
        <v>395</v>
      </c>
      <c r="M44" s="74">
        <f ca="1">VALUE(OFFSET(SourceData!$A$4,$B$40+M$2-2011,SourceData!$J$1+General!$B$1))</f>
        <v>426</v>
      </c>
      <c r="N44" s="74">
        <f ca="1">VALUE(OFFSET(SourceData!$A$4,$B$40+N$2-2011,SourceData!$J$1+General!$B$1))</f>
        <v>457</v>
      </c>
      <c r="O44" s="74">
        <f ca="1">VALUE(OFFSET(SourceData!$A$4,$B$40+O$2-2011,SourceData!$J$1+General!$B$1))</f>
        <v>490</v>
      </c>
      <c r="P44" s="74">
        <f ca="1">VALUE(OFFSET(SourceData!$A$4,$B$40+P$2-2011,SourceData!$J$1+General!$B$1))</f>
        <v>525</v>
      </c>
      <c r="Q44" s="74">
        <f ca="1">VALUE(OFFSET(SourceData!$A$4,$B$40+Q$2-2011,SourceData!$J$1+General!$B$1))</f>
        <v>561</v>
      </c>
      <c r="R44" s="74">
        <f ca="1">VALUE(OFFSET(SourceData!$A$4,$B$40+R$2-2011,SourceData!$J$1+General!$B$1))</f>
        <v>600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-0.48484848484848486</v>
      </c>
      <c r="E45" s="17">
        <f t="shared" ref="E45:R45" ca="1" si="19">E44/D44-1</f>
        <v>0.24117647058823533</v>
      </c>
      <c r="F45" s="17">
        <f t="shared" ca="1" si="19"/>
        <v>0.11374407582938395</v>
      </c>
      <c r="G45" s="17">
        <f t="shared" ca="1" si="19"/>
        <v>8.9361702127659592E-2</v>
      </c>
      <c r="H45" s="17">
        <f t="shared" ca="1" si="19"/>
        <v>8.984375E-2</v>
      </c>
      <c r="I45" s="17">
        <f t="shared" ca="1" si="19"/>
        <v>9.3189964157706084E-2</v>
      </c>
      <c r="J45" s="17">
        <f t="shared" ca="1" si="19"/>
        <v>9.5081967213114682E-2</v>
      </c>
      <c r="K45" s="17">
        <f t="shared" ca="1" si="19"/>
        <v>8.9820359281437057E-2</v>
      </c>
      <c r="L45" s="17">
        <f t="shared" ca="1" si="19"/>
        <v>8.5164835164835084E-2</v>
      </c>
      <c r="M45" s="17">
        <f t="shared" ca="1" si="19"/>
        <v>7.8481012658227822E-2</v>
      </c>
      <c r="N45" s="17">
        <f t="shared" ca="1" si="19"/>
        <v>7.2769953051643244E-2</v>
      </c>
      <c r="O45" s="17">
        <f t="shared" ca="1" si="19"/>
        <v>7.2210065645514243E-2</v>
      </c>
      <c r="P45" s="17">
        <f t="shared" ca="1" si="19"/>
        <v>7.1428571428571397E-2</v>
      </c>
      <c r="Q45" s="17">
        <f t="shared" ca="1" si="19"/>
        <v>6.8571428571428505E-2</v>
      </c>
      <c r="R45" s="17">
        <f t="shared" ca="1" si="19"/>
        <v>6.9518716577540163E-2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1567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8" sqref="C8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63</v>
      </c>
      <c r="B2" s="26" t="str">
        <f>VLOOKUP(A2,General!$A$9:$B$23,2,FALSE)</f>
        <v>BUR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1.6889924286546343E-2</v>
      </c>
      <c r="E4" s="27">
        <f t="shared" ref="E4:R4" ca="1" si="1">E42</f>
        <v>6.9873997709049229E-2</v>
      </c>
      <c r="F4" s="27">
        <f t="shared" ca="1" si="1"/>
        <v>7.7087794432548096E-2</v>
      </c>
      <c r="G4" s="27">
        <f t="shared" ca="1" si="1"/>
        <v>8.0516898608349985E-2</v>
      </c>
      <c r="H4" s="27">
        <f t="shared" ca="1" si="1"/>
        <v>7.9116835326586976E-2</v>
      </c>
      <c r="I4" s="27">
        <f t="shared" ca="1" si="1"/>
        <v>7.8431372549019551E-2</v>
      </c>
      <c r="J4" s="27">
        <f t="shared" ca="1" si="1"/>
        <v>7.6679841897233203E-2</v>
      </c>
      <c r="K4" s="27">
        <f t="shared" ca="1" si="1"/>
        <v>7.6358296622613731E-2</v>
      </c>
      <c r="L4" s="27">
        <f t="shared" ca="1" si="1"/>
        <v>7.5034106412005475E-2</v>
      </c>
      <c r="M4" s="27">
        <f t="shared" ca="1" si="1"/>
        <v>7.4873096446700593E-2</v>
      </c>
      <c r="N4" s="27">
        <f t="shared" ca="1" si="1"/>
        <v>7.4380165289256173E-2</v>
      </c>
      <c r="O4" s="27">
        <f t="shared" ca="1" si="1"/>
        <v>7.3076923076923039E-2</v>
      </c>
      <c r="P4" s="27">
        <f t="shared" ca="1" si="1"/>
        <v>7.2708653353814601E-2</v>
      </c>
      <c r="Q4" s="27">
        <f t="shared" ca="1" si="1"/>
        <v>7.2553699284009454E-2</v>
      </c>
      <c r="R4" s="27">
        <f t="shared" ca="1" si="1"/>
        <v>7.1651090342679025E-2</v>
      </c>
      <c r="S4" s="17">
        <f ca="1">$W$4</f>
        <v>6.8687144689089097E-2</v>
      </c>
      <c r="T4" s="17">
        <f t="shared" ref="T4:V4" ca="1" si="2">$W$4</f>
        <v>6.8687144689089097E-2</v>
      </c>
      <c r="U4" s="17">
        <f t="shared" ca="1" si="2"/>
        <v>6.8687144689089097E-2</v>
      </c>
      <c r="V4" s="17">
        <f t="shared" ca="1" si="2"/>
        <v>6.8687144689089097E-2</v>
      </c>
      <c r="W4" s="17">
        <f ca="1">SUMIF(SourceData!$AO$3:$BA$3,$B$2,SourceData!$AO$25:$BA$25)</f>
        <v>6.8687144689089097E-2</v>
      </c>
      <c r="X4" s="73">
        <f ca="1">W4</f>
        <v>6.8687144689089097E-2</v>
      </c>
      <c r="Y4" s="17">
        <f ca="1">SUMIF(SourceData!$AO$3:$BA$3,$B$2,SourceData!$AO$27:$BA$27)</f>
        <v>6.8687144689089097E-2</v>
      </c>
      <c r="Z4" s="17">
        <f ca="1">SUMIF(SourceData!$AO$3:$BA$3,$B$2,SourceData!$AO$28:$BA$28)</f>
        <v>6.8687144689089097E-2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729.72500000000002</v>
      </c>
      <c r="D5" s="7">
        <f t="shared" ref="D5:X5" ca="1" si="3">C5*(1+D4)</f>
        <v>742.05000000000007</v>
      </c>
      <c r="E5" s="7">
        <f t="shared" ca="1" si="3"/>
        <v>793.90000000000009</v>
      </c>
      <c r="F5" s="7">
        <f t="shared" ca="1" si="3"/>
        <v>855.1</v>
      </c>
      <c r="G5" s="7">
        <f t="shared" ca="1" si="3"/>
        <v>923.95</v>
      </c>
      <c r="H5" s="7">
        <f t="shared" ca="1" si="3"/>
        <v>997.05000000000007</v>
      </c>
      <c r="I5" s="7">
        <f t="shared" ca="1" si="3"/>
        <v>1075.25</v>
      </c>
      <c r="J5" s="7">
        <f t="shared" ca="1" si="3"/>
        <v>1157.7</v>
      </c>
      <c r="K5" s="7">
        <f t="shared" ca="1" si="3"/>
        <v>1246.0999999999999</v>
      </c>
      <c r="L5" s="7">
        <f t="shared" ca="1" si="3"/>
        <v>1339.6</v>
      </c>
      <c r="M5" s="7">
        <f t="shared" ca="1" si="3"/>
        <v>1439.9</v>
      </c>
      <c r="N5" s="7">
        <f t="shared" ca="1" si="3"/>
        <v>1547</v>
      </c>
      <c r="O5" s="7">
        <f t="shared" ca="1" si="3"/>
        <v>1660.05</v>
      </c>
      <c r="P5" s="7">
        <f t="shared" ca="1" si="3"/>
        <v>1780.7499999999998</v>
      </c>
      <c r="Q5" s="7">
        <f t="shared" ca="1" si="3"/>
        <v>1909.9499999999996</v>
      </c>
      <c r="R5" s="7">
        <f t="shared" ca="1" si="3"/>
        <v>2046.7999999999993</v>
      </c>
      <c r="S5" s="7">
        <f t="shared" ca="1" si="3"/>
        <v>2187.3888477496266</v>
      </c>
      <c r="T5" s="7">
        <f t="shared" ca="1" si="3"/>
        <v>2337.6343420263051</v>
      </c>
      <c r="U5" s="7">
        <f t="shared" ca="1" si="3"/>
        <v>2498.1997703072498</v>
      </c>
      <c r="V5" s="7">
        <f t="shared" ca="1" si="3"/>
        <v>2669.793979392593</v>
      </c>
      <c r="W5" s="7">
        <f t="shared" ca="1" si="3"/>
        <v>2853.1745047451909</v>
      </c>
      <c r="X5" s="7">
        <f t="shared" ca="1" si="3"/>
        <v>3049.1509147758438</v>
      </c>
      <c r="Y5" s="7">
        <f ca="1">W5*(1+Y4)^(Y2-W2)</f>
        <v>5544.1399841583379</v>
      </c>
      <c r="Z5" s="7">
        <f t="shared" ref="Z5:AA5" ca="1" si="4">Y5*(1+Z4)^(Z2-Y2)</f>
        <v>10773.083844967377</v>
      </c>
      <c r="AA5" s="7">
        <f t="shared" ca="1" si="4"/>
        <v>10773.083844967377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729.72500000000002</v>
      </c>
      <c r="D8" s="8">
        <f t="shared" ca="1" si="6"/>
        <v>742.05000000000007</v>
      </c>
      <c r="E8" s="8">
        <f t="shared" ca="1" si="6"/>
        <v>793.90000000000009</v>
      </c>
      <c r="F8" s="8">
        <f t="shared" ca="1" si="6"/>
        <v>855.1</v>
      </c>
      <c r="G8" s="8">
        <f t="shared" ca="1" si="6"/>
        <v>923.95</v>
      </c>
      <c r="H8" s="8">
        <f t="shared" ca="1" si="6"/>
        <v>997.05000000000007</v>
      </c>
      <c r="I8" s="8">
        <f t="shared" ca="1" si="6"/>
        <v>1075.25</v>
      </c>
      <c r="J8" s="8">
        <f t="shared" ca="1" si="6"/>
        <v>1157.7</v>
      </c>
      <c r="K8" s="8">
        <f t="shared" ca="1" si="6"/>
        <v>1246.0999999999999</v>
      </c>
      <c r="L8" s="8">
        <f t="shared" ca="1" si="6"/>
        <v>1339.6</v>
      </c>
      <c r="M8" s="8">
        <f t="shared" ca="1" si="6"/>
        <v>1439.9</v>
      </c>
      <c r="N8" s="8">
        <f t="shared" ca="1" si="6"/>
        <v>1547</v>
      </c>
      <c r="O8" s="8">
        <f t="shared" ca="1" si="6"/>
        <v>1660.05</v>
      </c>
      <c r="P8" s="8">
        <f t="shared" ca="1" si="6"/>
        <v>1780.7499999999998</v>
      </c>
      <c r="Q8" s="8">
        <f t="shared" ca="1" si="6"/>
        <v>1909.9499999999996</v>
      </c>
      <c r="R8" s="8">
        <f t="shared" ca="1" si="6"/>
        <v>2046.7999999999993</v>
      </c>
      <c r="S8" s="8">
        <f t="shared" ca="1" si="6"/>
        <v>2187.3888477496266</v>
      </c>
      <c r="T8" s="8">
        <f t="shared" ca="1" si="6"/>
        <v>2337.6343420263051</v>
      </c>
      <c r="U8" s="8">
        <f t="shared" ca="1" si="6"/>
        <v>2498.1997703072498</v>
      </c>
      <c r="V8" s="8">
        <f t="shared" ca="1" si="6"/>
        <v>2669.793979392593</v>
      </c>
      <c r="W8" s="8">
        <f t="shared" ca="1" si="6"/>
        <v>2853.1745047451909</v>
      </c>
      <c r="X8" s="8">
        <f t="shared" ca="1" si="6"/>
        <v>3049.1509147758438</v>
      </c>
      <c r="Y8" s="8">
        <f t="shared" ca="1" si="6"/>
        <v>5544.1399841583379</v>
      </c>
      <c r="Z8" s="8">
        <f t="shared" ca="1" si="6"/>
        <v>10773.083844967377</v>
      </c>
      <c r="AA8" s="8">
        <f t="shared" ca="1" si="6"/>
        <v>10773.083844967377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858.5</v>
      </c>
      <c r="D11" s="8">
        <f t="shared" ca="1" si="8"/>
        <v>873.00000000000011</v>
      </c>
      <c r="E11" s="8">
        <f t="shared" ca="1" si="8"/>
        <v>934.00000000000011</v>
      </c>
      <c r="F11" s="8">
        <f t="shared" ca="1" si="8"/>
        <v>1006</v>
      </c>
      <c r="G11" s="8">
        <f t="shared" ca="1" si="8"/>
        <v>1087</v>
      </c>
      <c r="H11" s="8">
        <f t="shared" ca="1" si="8"/>
        <v>1173</v>
      </c>
      <c r="I11" s="8">
        <f t="shared" ca="1" si="8"/>
        <v>1265</v>
      </c>
      <c r="J11" s="8">
        <f t="shared" ca="1" si="8"/>
        <v>1362</v>
      </c>
      <c r="K11" s="8">
        <f t="shared" ca="1" si="8"/>
        <v>1466</v>
      </c>
      <c r="L11" s="8">
        <f t="shared" ca="1" si="8"/>
        <v>1576</v>
      </c>
      <c r="M11" s="8">
        <f t="shared" ca="1" si="8"/>
        <v>1694.0000000000002</v>
      </c>
      <c r="N11" s="8">
        <f t="shared" ca="1" si="8"/>
        <v>1820</v>
      </c>
      <c r="O11" s="8">
        <f t="shared" ca="1" si="8"/>
        <v>1953</v>
      </c>
      <c r="P11" s="8">
        <f t="shared" ca="1" si="8"/>
        <v>2095</v>
      </c>
      <c r="Q11" s="8">
        <f t="shared" ca="1" si="8"/>
        <v>2246.9999999999995</v>
      </c>
      <c r="R11" s="8">
        <f t="shared" ca="1" si="8"/>
        <v>2407.9999999999991</v>
      </c>
      <c r="S11" s="8">
        <f t="shared" ca="1" si="8"/>
        <v>2573.3986444113257</v>
      </c>
      <c r="T11" s="8">
        <f t="shared" ca="1" si="8"/>
        <v>2750.1580494427121</v>
      </c>
      <c r="U11" s="8">
        <f t="shared" ca="1" si="8"/>
        <v>2939.0585533026469</v>
      </c>
      <c r="V11" s="8">
        <f t="shared" ca="1" si="8"/>
        <v>3140.9340934030506</v>
      </c>
      <c r="W11" s="8">
        <f t="shared" ca="1" si="8"/>
        <v>3356.6758879355189</v>
      </c>
      <c r="X11" s="8">
        <f t="shared" ca="1" si="8"/>
        <v>3587.2363703245223</v>
      </c>
      <c r="Y11" s="8">
        <f t="shared" ca="1" si="8"/>
        <v>6522.517628421574</v>
      </c>
      <c r="Z11" s="8">
        <f t="shared" ca="1" si="8"/>
        <v>12674.216288196914</v>
      </c>
      <c r="AA11" s="8">
        <f t="shared" ca="1" si="8"/>
        <v>12674.216288196914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858.5</v>
      </c>
      <c r="D20" s="39">
        <f t="shared" ca="1" si="13"/>
        <v>873.00000000000011</v>
      </c>
      <c r="E20" s="39">
        <f t="shared" ca="1" si="13"/>
        <v>934.00000000000011</v>
      </c>
      <c r="F20" s="39">
        <f t="shared" ca="1" si="13"/>
        <v>1006</v>
      </c>
      <c r="G20" s="39">
        <f t="shared" ca="1" si="13"/>
        <v>1087</v>
      </c>
      <c r="H20" s="39">
        <f t="shared" ca="1" si="13"/>
        <v>1173</v>
      </c>
      <c r="I20" s="39">
        <f t="shared" ca="1" si="13"/>
        <v>1265</v>
      </c>
      <c r="J20" s="39">
        <f t="shared" ca="1" si="13"/>
        <v>1362</v>
      </c>
      <c r="K20" s="39">
        <f t="shared" ca="1" si="13"/>
        <v>1466</v>
      </c>
      <c r="L20" s="39">
        <f t="shared" ca="1" si="13"/>
        <v>1576</v>
      </c>
      <c r="M20" s="39">
        <f t="shared" ca="1" si="13"/>
        <v>1694.0000000000002</v>
      </c>
      <c r="N20" s="39">
        <f t="shared" ca="1" si="13"/>
        <v>1820</v>
      </c>
      <c r="O20" s="39">
        <f t="shared" ca="1" si="13"/>
        <v>1953</v>
      </c>
      <c r="P20" s="39">
        <f t="shared" ca="1" si="13"/>
        <v>2095</v>
      </c>
      <c r="Q20" s="39">
        <f t="shared" ca="1" si="13"/>
        <v>2246.9999999999995</v>
      </c>
      <c r="R20" s="39">
        <f t="shared" ca="1" si="13"/>
        <v>2407.9999999999991</v>
      </c>
      <c r="S20" s="39">
        <f t="shared" ca="1" si="13"/>
        <v>2573.3986444113257</v>
      </c>
      <c r="T20" s="39">
        <f t="shared" ca="1" si="13"/>
        <v>2750.1580494427121</v>
      </c>
      <c r="U20" s="39">
        <f t="shared" ca="1" si="13"/>
        <v>2939.0585533026469</v>
      </c>
      <c r="V20" s="39">
        <f t="shared" ca="1" si="13"/>
        <v>3140.9340934030506</v>
      </c>
      <c r="W20" s="39">
        <f t="shared" ca="1" si="13"/>
        <v>3356.6758879355189</v>
      </c>
      <c r="X20" s="39">
        <f t="shared" ca="1" si="13"/>
        <v>3587.2363703245223</v>
      </c>
      <c r="Y20" s="39">
        <f t="shared" ca="1" si="13"/>
        <v>6522.517628421574</v>
      </c>
      <c r="Z20" s="39">
        <f t="shared" ca="1" si="13"/>
        <v>12674.216288196914</v>
      </c>
      <c r="AA20" s="39">
        <f t="shared" ca="1" si="13"/>
        <v>12674.216288196914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158</v>
      </c>
      <c r="D33" s="23">
        <f ca="1">D20/(D34*8.76)</f>
        <v>178.00000000000006</v>
      </c>
      <c r="E33" s="23">
        <f ca="1">E20/(E34*8.76)</f>
        <v>190.00000000000003</v>
      </c>
      <c r="F33" s="23">
        <f t="shared" ref="F33:X33" ca="1" si="14">F20/(F34*8.76)</f>
        <v>205</v>
      </c>
      <c r="G33" s="23">
        <f t="shared" ca="1" si="14"/>
        <v>221.99999999999997</v>
      </c>
      <c r="H33" s="23">
        <f t="shared" ca="1" si="14"/>
        <v>239</v>
      </c>
      <c r="I33" s="23">
        <f t="shared" ca="1" si="14"/>
        <v>257.99999999999994</v>
      </c>
      <c r="J33" s="23">
        <f t="shared" ca="1" si="14"/>
        <v>277.99999999999994</v>
      </c>
      <c r="K33" s="23">
        <f t="shared" ca="1" si="14"/>
        <v>299</v>
      </c>
      <c r="L33" s="23">
        <f t="shared" ca="1" si="14"/>
        <v>321</v>
      </c>
      <c r="M33" s="23">
        <f t="shared" ca="1" si="14"/>
        <v>345</v>
      </c>
      <c r="N33" s="23">
        <f t="shared" ca="1" si="14"/>
        <v>371</v>
      </c>
      <c r="O33" s="23">
        <f t="shared" ca="1" si="14"/>
        <v>398</v>
      </c>
      <c r="P33" s="23">
        <f t="shared" ca="1" si="14"/>
        <v>427</v>
      </c>
      <c r="Q33" s="23">
        <f t="shared" ca="1" si="14"/>
        <v>457.99999999999994</v>
      </c>
      <c r="R33" s="23">
        <f t="shared" ca="1" si="14"/>
        <v>490.99999999999983</v>
      </c>
      <c r="S33" s="23">
        <f t="shared" ca="1" si="14"/>
        <v>524.72538804234262</v>
      </c>
      <c r="T33" s="23">
        <f t="shared" ca="1" si="14"/>
        <v>560.76727669284537</v>
      </c>
      <c r="U33" s="23">
        <f t="shared" ca="1" si="14"/>
        <v>599.28477976395334</v>
      </c>
      <c r="V33" s="23">
        <f t="shared" ca="1" si="14"/>
        <v>640.44794014156889</v>
      </c>
      <c r="W33" s="23">
        <f t="shared" ca="1" si="14"/>
        <v>684.43848047190193</v>
      </c>
      <c r="X33" s="23">
        <f t="shared" ca="1" si="14"/>
        <v>731.4506054108557</v>
      </c>
    </row>
    <row r="34" spans="1:24" ht="15" x14ac:dyDescent="0.25">
      <c r="A34" s="1" t="s">
        <v>7</v>
      </c>
      <c r="C34" s="77">
        <f ca="1">C41/(C44*8.76)</f>
        <v>0.62026761458875213</v>
      </c>
      <c r="D34" s="77">
        <f ca="1">D41/(D44*8.76)</f>
        <v>0.55987378790210862</v>
      </c>
      <c r="E34" s="77">
        <f t="shared" ref="E34:R34" ca="1" si="15">E41/(E44*8.76)</f>
        <v>0.56116318192742132</v>
      </c>
      <c r="F34" s="77">
        <f t="shared" ca="1" si="15"/>
        <v>0.56019601291903331</v>
      </c>
      <c r="G34" s="77">
        <f t="shared" ca="1" si="15"/>
        <v>0.55894936031922338</v>
      </c>
      <c r="H34" s="77">
        <f t="shared" ca="1" si="15"/>
        <v>0.56026824095833094</v>
      </c>
      <c r="I34" s="77">
        <f t="shared" ca="1" si="15"/>
        <v>0.55971470036458892</v>
      </c>
      <c r="J34" s="77">
        <f t="shared" ca="1" si="15"/>
        <v>0.55927860451364941</v>
      </c>
      <c r="K34" s="77">
        <f t="shared" ca="1" si="15"/>
        <v>0.55970434171744476</v>
      </c>
      <c r="L34" s="77">
        <f t="shared" ca="1" si="15"/>
        <v>0.56046316448313627</v>
      </c>
      <c r="M34" s="77">
        <f t="shared" ca="1" si="15"/>
        <v>0.56051882734431879</v>
      </c>
      <c r="N34" s="77">
        <f t="shared" ca="1" si="15"/>
        <v>0.56000689239252177</v>
      </c>
      <c r="O34" s="77">
        <f t="shared" ca="1" si="15"/>
        <v>0.56016383286294491</v>
      </c>
      <c r="P34" s="77">
        <f t="shared" ca="1" si="15"/>
        <v>0.56008255536663354</v>
      </c>
      <c r="Q34" s="77">
        <f t="shared" ca="1" si="15"/>
        <v>0.56005862295866482</v>
      </c>
      <c r="R34" s="77">
        <f t="shared" ca="1" si="15"/>
        <v>0.55984897097527175</v>
      </c>
      <c r="S34" s="14">
        <f t="shared" ref="S34:X34" ca="1" si="16">R34</f>
        <v>0.55984897097527175</v>
      </c>
      <c r="T34" s="14">
        <f t="shared" ca="1" si="16"/>
        <v>0.55984897097527175</v>
      </c>
      <c r="U34" s="14">
        <f t="shared" ca="1" si="16"/>
        <v>0.55984897097527175</v>
      </c>
      <c r="V34" s="14">
        <f t="shared" ca="1" si="16"/>
        <v>0.55984897097527175</v>
      </c>
      <c r="W34" s="14">
        <f t="shared" ca="1" si="16"/>
        <v>0.55984897097527175</v>
      </c>
      <c r="X34" s="14">
        <f t="shared" ca="1" si="16"/>
        <v>0.55984897097527175</v>
      </c>
    </row>
    <row r="35" spans="1:24" ht="15" x14ac:dyDescent="0.25">
      <c r="A35" s="1" t="s">
        <v>8</v>
      </c>
      <c r="C35" s="15"/>
      <c r="D35" s="15">
        <f t="shared" ref="D35:X35" ca="1" si="17">D33/C33-1</f>
        <v>0.12658227848101311</v>
      </c>
      <c r="E35" s="15">
        <f t="shared" ca="1" si="17"/>
        <v>6.7415730337078372E-2</v>
      </c>
      <c r="F35" s="15">
        <f t="shared" ca="1" si="17"/>
        <v>7.8947368421052433E-2</v>
      </c>
      <c r="G35" s="15">
        <f t="shared" ca="1" si="17"/>
        <v>8.2926829268292535E-2</v>
      </c>
      <c r="H35" s="15">
        <f t="shared" ca="1" si="17"/>
        <v>7.6576576576576683E-2</v>
      </c>
      <c r="I35" s="15">
        <f t="shared" ca="1" si="17"/>
        <v>7.9497907949790614E-2</v>
      </c>
      <c r="J35" s="15">
        <f t="shared" ca="1" si="17"/>
        <v>7.7519379844961156E-2</v>
      </c>
      <c r="K35" s="15">
        <f t="shared" ca="1" si="17"/>
        <v>7.5539568345323937E-2</v>
      </c>
      <c r="L35" s="15">
        <f t="shared" ca="1" si="17"/>
        <v>7.3578595317725703E-2</v>
      </c>
      <c r="M35" s="15">
        <f t="shared" ca="1" si="17"/>
        <v>7.4766355140186924E-2</v>
      </c>
      <c r="N35" s="15">
        <f t="shared" ca="1" si="17"/>
        <v>7.5362318840579645E-2</v>
      </c>
      <c r="O35" s="15">
        <f t="shared" ca="1" si="17"/>
        <v>7.2776280323450182E-2</v>
      </c>
      <c r="P35" s="15">
        <f t="shared" ca="1" si="17"/>
        <v>7.2864321608040239E-2</v>
      </c>
      <c r="Q35" s="15">
        <f t="shared" ca="1" si="17"/>
        <v>7.2599531615924917E-2</v>
      </c>
      <c r="R35" s="15">
        <f t="shared" ca="1" si="17"/>
        <v>7.2052401746724559E-2</v>
      </c>
      <c r="S35" s="15">
        <f t="shared" ca="1" si="17"/>
        <v>6.8687144689089097E-2</v>
      </c>
      <c r="T35" s="15">
        <f t="shared" ca="1" si="17"/>
        <v>6.8687144689089097E-2</v>
      </c>
      <c r="U35" s="15">
        <f t="shared" ca="1" si="17"/>
        <v>6.8687144689089097E-2</v>
      </c>
      <c r="V35" s="15">
        <f t="shared" ca="1" si="17"/>
        <v>6.8687144689089097E-2</v>
      </c>
      <c r="W35" s="15">
        <f t="shared" ca="1" si="17"/>
        <v>6.8687144689089097E-2</v>
      </c>
      <c r="X35" s="15">
        <f t="shared" ca="1" si="17"/>
        <v>6.8687144689089097E-2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158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181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858.5</v>
      </c>
      <c r="D41" s="74">
        <f ca="1">VALUE(OFFSET(SourceData!$A$4,$B$40+D$2-2011,SourceData!$D$1+General!$B$1))</f>
        <v>873</v>
      </c>
      <c r="E41" s="74">
        <f ca="1">VALUE(OFFSET(SourceData!$A$4,$B$40+E$2-2011,SourceData!$D$1+General!$B$1))</f>
        <v>934</v>
      </c>
      <c r="F41" s="74">
        <f ca="1">VALUE(OFFSET(SourceData!$A$4,$B$40+F$2-2011,SourceData!$D$1+General!$B$1))</f>
        <v>1006</v>
      </c>
      <c r="G41" s="74">
        <f ca="1">VALUE(OFFSET(SourceData!$A$4,$B$40+G$2-2011,SourceData!$D$1+General!$B$1))</f>
        <v>1087</v>
      </c>
      <c r="H41" s="74">
        <f ca="1">VALUE(OFFSET(SourceData!$A$4,$B$40+H$2-2011,SourceData!$D$1+General!$B$1))</f>
        <v>1173</v>
      </c>
      <c r="I41" s="74">
        <f ca="1">VALUE(OFFSET(SourceData!$A$4,$B$40+I$2-2011,SourceData!$D$1+General!$B$1))</f>
        <v>1265</v>
      </c>
      <c r="J41" s="74">
        <f ca="1">VALUE(OFFSET(SourceData!$A$4,$B$40+J$2-2011,SourceData!$D$1+General!$B$1))</f>
        <v>1362</v>
      </c>
      <c r="K41" s="74">
        <f ca="1">VALUE(OFFSET(SourceData!$A$4,$B$40+K$2-2011,SourceData!$D$1+General!$B$1))</f>
        <v>1466</v>
      </c>
      <c r="L41" s="74">
        <f ca="1">VALUE(OFFSET(SourceData!$A$4,$B$40+L$2-2011,SourceData!$D$1+General!$B$1))</f>
        <v>1576</v>
      </c>
      <c r="M41" s="74">
        <f ca="1">VALUE(OFFSET(SourceData!$A$4,$B$40+M$2-2011,SourceData!$D$1+General!$B$1))</f>
        <v>1694</v>
      </c>
      <c r="N41" s="74">
        <f ca="1">VALUE(OFFSET(SourceData!$A$4,$B$40+N$2-2011,SourceData!$D$1+General!$B$1))</f>
        <v>1820</v>
      </c>
      <c r="O41" s="74">
        <f ca="1">VALUE(OFFSET(SourceData!$A$4,$B$40+O$2-2011,SourceData!$D$1+General!$B$1))</f>
        <v>1953</v>
      </c>
      <c r="P41" s="74">
        <f ca="1">VALUE(OFFSET(SourceData!$A$4,$B$40+P$2-2011,SourceData!$D$1+General!$B$1))</f>
        <v>2095</v>
      </c>
      <c r="Q41" s="74">
        <f ca="1">VALUE(OFFSET(SourceData!$A$4,$B$40+Q$2-2011,SourceData!$D$1+General!$B$1))</f>
        <v>2247</v>
      </c>
      <c r="R41" s="74">
        <f ca="1">VALUE(OFFSET(SourceData!$A$4,$B$40+R$2-2011,SourceData!$D$1+General!$B$1))</f>
        <v>2408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1.6889924286546343E-2</v>
      </c>
      <c r="E42" s="21">
        <f t="shared" ref="E42:R42" ca="1" si="18">E41/D41-1</f>
        <v>6.9873997709049229E-2</v>
      </c>
      <c r="F42" s="21">
        <f t="shared" ca="1" si="18"/>
        <v>7.7087794432548096E-2</v>
      </c>
      <c r="G42" s="21">
        <f t="shared" ca="1" si="18"/>
        <v>8.0516898608349985E-2</v>
      </c>
      <c r="H42" s="21">
        <f t="shared" ca="1" si="18"/>
        <v>7.9116835326586976E-2</v>
      </c>
      <c r="I42" s="21">
        <f t="shared" ca="1" si="18"/>
        <v>7.8431372549019551E-2</v>
      </c>
      <c r="J42" s="21">
        <f t="shared" ca="1" si="18"/>
        <v>7.6679841897233203E-2</v>
      </c>
      <c r="K42" s="21">
        <f t="shared" ca="1" si="18"/>
        <v>7.6358296622613731E-2</v>
      </c>
      <c r="L42" s="21">
        <f t="shared" ca="1" si="18"/>
        <v>7.5034106412005475E-2</v>
      </c>
      <c r="M42" s="21">
        <f t="shared" ca="1" si="18"/>
        <v>7.4873096446700593E-2</v>
      </c>
      <c r="N42" s="21">
        <f t="shared" ca="1" si="18"/>
        <v>7.4380165289256173E-2</v>
      </c>
      <c r="O42" s="21">
        <f t="shared" ca="1" si="18"/>
        <v>7.3076923076923039E-2</v>
      </c>
      <c r="P42" s="21">
        <f t="shared" ca="1" si="18"/>
        <v>7.2708653353814601E-2</v>
      </c>
      <c r="Q42" s="21">
        <f t="shared" ca="1" si="18"/>
        <v>7.2553699284009454E-2</v>
      </c>
      <c r="R42" s="21">
        <f t="shared" ca="1" si="18"/>
        <v>7.1651090342679025E-2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158</v>
      </c>
      <c r="D44" s="74">
        <f ca="1">VALUE(OFFSET(SourceData!$A$4,$B$40+D$2-2011,SourceData!$J$1+General!$B$1))</f>
        <v>178</v>
      </c>
      <c r="E44" s="74">
        <f ca="1">VALUE(OFFSET(SourceData!$A$4,$B$40+E$2-2011,SourceData!$J$1+General!$B$1))</f>
        <v>190</v>
      </c>
      <c r="F44" s="74">
        <f ca="1">VALUE(OFFSET(SourceData!$A$4,$B$40+F$2-2011,SourceData!$J$1+General!$B$1))</f>
        <v>205</v>
      </c>
      <c r="G44" s="74">
        <f ca="1">VALUE(OFFSET(SourceData!$A$4,$B$40+G$2-2011,SourceData!$J$1+General!$B$1))</f>
        <v>222</v>
      </c>
      <c r="H44" s="74">
        <f ca="1">VALUE(OFFSET(SourceData!$A$4,$B$40+H$2-2011,SourceData!$J$1+General!$B$1))</f>
        <v>239</v>
      </c>
      <c r="I44" s="74">
        <f ca="1">VALUE(OFFSET(SourceData!$A$4,$B$40+I$2-2011,SourceData!$J$1+General!$B$1))</f>
        <v>258</v>
      </c>
      <c r="J44" s="74">
        <f ca="1">VALUE(OFFSET(SourceData!$A$4,$B$40+J$2-2011,SourceData!$J$1+General!$B$1))</f>
        <v>278</v>
      </c>
      <c r="K44" s="74">
        <f ca="1">VALUE(OFFSET(SourceData!$A$4,$B$40+K$2-2011,SourceData!$J$1+General!$B$1))</f>
        <v>299</v>
      </c>
      <c r="L44" s="74">
        <f ca="1">VALUE(OFFSET(SourceData!$A$4,$B$40+L$2-2011,SourceData!$J$1+General!$B$1))</f>
        <v>321</v>
      </c>
      <c r="M44" s="74">
        <f ca="1">VALUE(OFFSET(SourceData!$A$4,$B$40+M$2-2011,SourceData!$J$1+General!$B$1))</f>
        <v>345</v>
      </c>
      <c r="N44" s="74">
        <f ca="1">VALUE(OFFSET(SourceData!$A$4,$B$40+N$2-2011,SourceData!$J$1+General!$B$1))</f>
        <v>371</v>
      </c>
      <c r="O44" s="74">
        <f ca="1">VALUE(OFFSET(SourceData!$A$4,$B$40+O$2-2011,SourceData!$J$1+General!$B$1))</f>
        <v>398</v>
      </c>
      <c r="P44" s="74">
        <f ca="1">VALUE(OFFSET(SourceData!$A$4,$B$40+P$2-2011,SourceData!$J$1+General!$B$1))</f>
        <v>427</v>
      </c>
      <c r="Q44" s="74">
        <f ca="1">VALUE(OFFSET(SourceData!$A$4,$B$40+Q$2-2011,SourceData!$J$1+General!$B$1))</f>
        <v>458</v>
      </c>
      <c r="R44" s="74">
        <f ca="1">VALUE(OFFSET(SourceData!$A$4,$B$40+R$2-2011,SourceData!$J$1+General!$B$1))</f>
        <v>491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0.12658227848101267</v>
      </c>
      <c r="E45" s="17">
        <f t="shared" ref="E45:R45" ca="1" si="19">E44/D44-1</f>
        <v>6.7415730337078594E-2</v>
      </c>
      <c r="F45" s="17">
        <f t="shared" ca="1" si="19"/>
        <v>7.8947368421052655E-2</v>
      </c>
      <c r="G45" s="17">
        <f t="shared" ca="1" si="19"/>
        <v>8.2926829268292757E-2</v>
      </c>
      <c r="H45" s="17">
        <f t="shared" ca="1" si="19"/>
        <v>7.6576576576576683E-2</v>
      </c>
      <c r="I45" s="17">
        <f t="shared" ca="1" si="19"/>
        <v>7.9497907949790836E-2</v>
      </c>
      <c r="J45" s="17">
        <f t="shared" ca="1" si="19"/>
        <v>7.7519379844961156E-2</v>
      </c>
      <c r="K45" s="17">
        <f t="shared" ca="1" si="19"/>
        <v>7.5539568345323715E-2</v>
      </c>
      <c r="L45" s="17">
        <f t="shared" ca="1" si="19"/>
        <v>7.3578595317725703E-2</v>
      </c>
      <c r="M45" s="17">
        <f t="shared" ca="1" si="19"/>
        <v>7.4766355140186924E-2</v>
      </c>
      <c r="N45" s="17">
        <f t="shared" ca="1" si="19"/>
        <v>7.5362318840579645E-2</v>
      </c>
      <c r="O45" s="17">
        <f t="shared" ca="1" si="19"/>
        <v>7.2776280323450182E-2</v>
      </c>
      <c r="P45" s="17">
        <f t="shared" ca="1" si="19"/>
        <v>7.2864321608040239E-2</v>
      </c>
      <c r="Q45" s="17">
        <f t="shared" ca="1" si="19"/>
        <v>7.2599531615925139E-2</v>
      </c>
      <c r="R45" s="17">
        <f t="shared" ca="1" si="19"/>
        <v>7.2052401746724781E-2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145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8" sqref="C8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79</v>
      </c>
      <c r="B2" s="26" t="str">
        <f>VLOOKUP(A2,General!$A$9:$B$23,2,FALSE)</f>
        <v>NIG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1.6766467065868262E-2</v>
      </c>
      <c r="E4" s="27">
        <f t="shared" ref="E4:R4" ca="1" si="1">E42</f>
        <v>7.4204946996466514E-2</v>
      </c>
      <c r="F4" s="27">
        <f t="shared" ca="1" si="1"/>
        <v>7.1271929824561431E-2</v>
      </c>
      <c r="G4" s="27">
        <f t="shared" ca="1" si="1"/>
        <v>6.8577277379733959E-2</v>
      </c>
      <c r="H4" s="27">
        <f t="shared" ca="1" si="1"/>
        <v>0.18295019157088133</v>
      </c>
      <c r="I4" s="27">
        <f t="shared" ca="1" si="1"/>
        <v>5.7489878542510198E-2</v>
      </c>
      <c r="J4" s="27">
        <f t="shared" ca="1" si="1"/>
        <v>5.5895865237366005E-2</v>
      </c>
      <c r="K4" s="27">
        <f t="shared" ca="1" si="1"/>
        <v>5.4387237128353805E-2</v>
      </c>
      <c r="L4" s="27">
        <f t="shared" ca="1" si="1"/>
        <v>5.2269601100412677E-2</v>
      </c>
      <c r="M4" s="27">
        <f t="shared" ca="1" si="1"/>
        <v>5.1633986928104614E-2</v>
      </c>
      <c r="N4" s="27">
        <f t="shared" ca="1" si="1"/>
        <v>5.0963331261653311E-2</v>
      </c>
      <c r="O4" s="27">
        <f t="shared" ca="1" si="1"/>
        <v>4.9083382613837934E-2</v>
      </c>
      <c r="P4" s="27">
        <f t="shared" ca="1" si="1"/>
        <v>4.8478015783540052E-2</v>
      </c>
      <c r="Q4" s="27">
        <f t="shared" ca="1" si="1"/>
        <v>4.7311827956989294E-2</v>
      </c>
      <c r="R4" s="27">
        <f t="shared" ca="1" si="1"/>
        <v>4.6714579055441519E-2</v>
      </c>
      <c r="S4" s="17">
        <f ca="1">$W$4</f>
        <v>4.1321885985801998E-2</v>
      </c>
      <c r="T4" s="17">
        <f t="shared" ref="T4:V4" ca="1" si="2">$W$4</f>
        <v>4.1321885985801998E-2</v>
      </c>
      <c r="U4" s="17">
        <f t="shared" ca="1" si="2"/>
        <v>4.1321885985801998E-2</v>
      </c>
      <c r="V4" s="17">
        <f t="shared" ca="1" si="2"/>
        <v>4.1321885985801998E-2</v>
      </c>
      <c r="W4" s="17">
        <f ca="1">SUMIF(SourceData!$AO$3:$BA$3,$B$2,SourceData!$AO$25:$BA$25)</f>
        <v>4.1321885985801998E-2</v>
      </c>
      <c r="X4" s="73">
        <f ca="1">W4</f>
        <v>4.1321885985801998E-2</v>
      </c>
      <c r="Y4" s="17">
        <f ca="1">SUMIF(SourceData!$AO$3:$BA$3,$B$2,SourceData!$AO$27:$BA$27)</f>
        <v>4.1321885985801998E-2</v>
      </c>
      <c r="Z4" s="17">
        <f ca="1">SUMIF(SourceData!$AO$3:$BA$3,$B$2,SourceData!$AO$28:$BA$28)</f>
        <v>4.1321885985801998E-2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709.75</v>
      </c>
      <c r="D5" s="7">
        <f t="shared" ref="D5:X5" ca="1" si="3">C5*(1+D4)</f>
        <v>721.65</v>
      </c>
      <c r="E5" s="7">
        <f t="shared" ca="1" si="3"/>
        <v>775.2</v>
      </c>
      <c r="F5" s="7">
        <f t="shared" ca="1" si="3"/>
        <v>830.45</v>
      </c>
      <c r="G5" s="7">
        <f t="shared" ca="1" si="3"/>
        <v>887.40000000000009</v>
      </c>
      <c r="H5" s="7">
        <f t="shared" ca="1" si="3"/>
        <v>1049.7500000000002</v>
      </c>
      <c r="I5" s="7">
        <f t="shared" ca="1" si="3"/>
        <v>1110.1000000000004</v>
      </c>
      <c r="J5" s="7">
        <f t="shared" ca="1" si="3"/>
        <v>1172.1500000000003</v>
      </c>
      <c r="K5" s="7">
        <f t="shared" ca="1" si="3"/>
        <v>1235.9000000000003</v>
      </c>
      <c r="L5" s="7">
        <f t="shared" ca="1" si="3"/>
        <v>1300.5000000000005</v>
      </c>
      <c r="M5" s="7">
        <f t="shared" ca="1" si="3"/>
        <v>1367.6500000000005</v>
      </c>
      <c r="N5" s="7">
        <f t="shared" ca="1" si="3"/>
        <v>1437.3500000000008</v>
      </c>
      <c r="O5" s="7">
        <f t="shared" ca="1" si="3"/>
        <v>1507.9000000000008</v>
      </c>
      <c r="P5" s="7">
        <f t="shared" ca="1" si="3"/>
        <v>1581.0000000000009</v>
      </c>
      <c r="Q5" s="7">
        <f t="shared" ca="1" si="3"/>
        <v>1655.8000000000011</v>
      </c>
      <c r="R5" s="7">
        <f t="shared" ca="1" si="3"/>
        <v>1733.1500000000012</v>
      </c>
      <c r="S5" s="7">
        <f t="shared" ca="1" si="3"/>
        <v>1804.7670266962941</v>
      </c>
      <c r="T5" s="7">
        <f t="shared" ca="1" si="3"/>
        <v>1879.3434040043733</v>
      </c>
      <c r="U5" s="7">
        <f t="shared" ca="1" si="3"/>
        <v>1957.0014178728111</v>
      </c>
      <c r="V5" s="7">
        <f t="shared" ca="1" si="3"/>
        <v>2037.8684073362042</v>
      </c>
      <c r="W5" s="7">
        <f t="shared" ca="1" si="3"/>
        <v>2122.0769733182187</v>
      </c>
      <c r="X5" s="7">
        <f t="shared" ca="1" si="3"/>
        <v>2209.76519606277</v>
      </c>
      <c r="Y5" s="7">
        <f ca="1">W5*(1+Y4)^(Y2-W2)</f>
        <v>3181.3473952710783</v>
      </c>
      <c r="Z5" s="7">
        <f t="shared" ref="Z5:AA5" ca="1" si="4">Y5*(1+Z4)^(Z2-Y2)</f>
        <v>4769.3704689572405</v>
      </c>
      <c r="AA5" s="7">
        <f t="shared" ca="1" si="4"/>
        <v>4769.3704689572405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709.75</v>
      </c>
      <c r="D8" s="8">
        <f t="shared" ca="1" si="6"/>
        <v>721.65</v>
      </c>
      <c r="E8" s="8">
        <f t="shared" ca="1" si="6"/>
        <v>775.2</v>
      </c>
      <c r="F8" s="8">
        <f t="shared" ca="1" si="6"/>
        <v>830.45</v>
      </c>
      <c r="G8" s="8">
        <f t="shared" ca="1" si="6"/>
        <v>887.40000000000009</v>
      </c>
      <c r="H8" s="8">
        <f t="shared" ca="1" si="6"/>
        <v>1049.7500000000002</v>
      </c>
      <c r="I8" s="8">
        <f t="shared" ca="1" si="6"/>
        <v>1110.1000000000004</v>
      </c>
      <c r="J8" s="8">
        <f t="shared" ca="1" si="6"/>
        <v>1172.1500000000003</v>
      </c>
      <c r="K8" s="8">
        <f t="shared" ca="1" si="6"/>
        <v>1235.9000000000003</v>
      </c>
      <c r="L8" s="8">
        <f t="shared" ca="1" si="6"/>
        <v>1300.5000000000005</v>
      </c>
      <c r="M8" s="8">
        <f t="shared" ca="1" si="6"/>
        <v>1367.6500000000005</v>
      </c>
      <c r="N8" s="8">
        <f t="shared" ca="1" si="6"/>
        <v>1437.3500000000008</v>
      </c>
      <c r="O8" s="8">
        <f t="shared" ca="1" si="6"/>
        <v>1507.9000000000008</v>
      </c>
      <c r="P8" s="8">
        <f t="shared" ca="1" si="6"/>
        <v>1581.0000000000009</v>
      </c>
      <c r="Q8" s="8">
        <f t="shared" ca="1" si="6"/>
        <v>1655.8000000000011</v>
      </c>
      <c r="R8" s="8">
        <f t="shared" ca="1" si="6"/>
        <v>1733.1500000000012</v>
      </c>
      <c r="S8" s="8">
        <f t="shared" ca="1" si="6"/>
        <v>1804.7670266962941</v>
      </c>
      <c r="T8" s="8">
        <f t="shared" ca="1" si="6"/>
        <v>1879.3434040043733</v>
      </c>
      <c r="U8" s="8">
        <f t="shared" ca="1" si="6"/>
        <v>1957.0014178728111</v>
      </c>
      <c r="V8" s="8">
        <f t="shared" ca="1" si="6"/>
        <v>2037.8684073362042</v>
      </c>
      <c r="W8" s="8">
        <f t="shared" ca="1" si="6"/>
        <v>2122.0769733182187</v>
      </c>
      <c r="X8" s="8">
        <f t="shared" ca="1" si="6"/>
        <v>2209.76519606277</v>
      </c>
      <c r="Y8" s="8">
        <f t="shared" ca="1" si="6"/>
        <v>3181.3473952710783</v>
      </c>
      <c r="Z8" s="8">
        <f t="shared" ca="1" si="6"/>
        <v>4769.3704689572405</v>
      </c>
      <c r="AA8" s="8">
        <f t="shared" ca="1" si="6"/>
        <v>4769.3704689572405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835</v>
      </c>
      <c r="D11" s="8">
        <f t="shared" ca="1" si="8"/>
        <v>849</v>
      </c>
      <c r="E11" s="8">
        <f t="shared" ca="1" si="8"/>
        <v>912.00000000000011</v>
      </c>
      <c r="F11" s="8">
        <f t="shared" ca="1" si="8"/>
        <v>977.00000000000011</v>
      </c>
      <c r="G11" s="8">
        <f t="shared" ca="1" si="8"/>
        <v>1044.0000000000002</v>
      </c>
      <c r="H11" s="8">
        <f t="shared" ca="1" si="8"/>
        <v>1235.0000000000002</v>
      </c>
      <c r="I11" s="8">
        <f t="shared" ca="1" si="8"/>
        <v>1306.0000000000005</v>
      </c>
      <c r="J11" s="8">
        <f t="shared" ca="1" si="8"/>
        <v>1379.0000000000005</v>
      </c>
      <c r="K11" s="8">
        <f t="shared" ca="1" si="8"/>
        <v>1454.0000000000005</v>
      </c>
      <c r="L11" s="8">
        <f t="shared" ca="1" si="8"/>
        <v>1530.0000000000007</v>
      </c>
      <c r="M11" s="8">
        <f t="shared" ca="1" si="8"/>
        <v>1609.0000000000007</v>
      </c>
      <c r="N11" s="8">
        <f t="shared" ca="1" si="8"/>
        <v>1691.0000000000009</v>
      </c>
      <c r="O11" s="8">
        <f t="shared" ca="1" si="8"/>
        <v>1774.0000000000009</v>
      </c>
      <c r="P11" s="8">
        <f t="shared" ca="1" si="8"/>
        <v>1860.0000000000011</v>
      </c>
      <c r="Q11" s="8">
        <f t="shared" ca="1" si="8"/>
        <v>1948.0000000000014</v>
      </c>
      <c r="R11" s="8">
        <f t="shared" ca="1" si="8"/>
        <v>2039.0000000000016</v>
      </c>
      <c r="S11" s="8">
        <f t="shared" ca="1" si="8"/>
        <v>2123.2553255250518</v>
      </c>
      <c r="T11" s="8">
        <f t="shared" ca="1" si="8"/>
        <v>2210.992240005145</v>
      </c>
      <c r="U11" s="8">
        <f t="shared" ca="1" si="8"/>
        <v>2302.3546092621309</v>
      </c>
      <c r="V11" s="8">
        <f t="shared" ca="1" si="8"/>
        <v>2397.4922439249463</v>
      </c>
      <c r="W11" s="8">
        <f t="shared" ca="1" si="8"/>
        <v>2496.5611450802576</v>
      </c>
      <c r="X11" s="8">
        <f t="shared" ca="1" si="8"/>
        <v>2599.7237600738472</v>
      </c>
      <c r="Y11" s="8">
        <f t="shared" ca="1" si="8"/>
        <v>3742.7616414953864</v>
      </c>
      <c r="Z11" s="8">
        <f t="shared" ca="1" si="8"/>
        <v>5611.0240811261656</v>
      </c>
      <c r="AA11" s="8">
        <f t="shared" ca="1" si="8"/>
        <v>5611.0240811261656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835</v>
      </c>
      <c r="D20" s="39">
        <f t="shared" ca="1" si="13"/>
        <v>849</v>
      </c>
      <c r="E20" s="39">
        <f t="shared" ca="1" si="13"/>
        <v>912.00000000000011</v>
      </c>
      <c r="F20" s="39">
        <f t="shared" ca="1" si="13"/>
        <v>977.00000000000011</v>
      </c>
      <c r="G20" s="39">
        <f t="shared" ca="1" si="13"/>
        <v>1044.0000000000002</v>
      </c>
      <c r="H20" s="39">
        <f t="shared" ca="1" si="13"/>
        <v>1235.0000000000002</v>
      </c>
      <c r="I20" s="39">
        <f t="shared" ca="1" si="13"/>
        <v>1306.0000000000005</v>
      </c>
      <c r="J20" s="39">
        <f t="shared" ca="1" si="13"/>
        <v>1379.0000000000005</v>
      </c>
      <c r="K20" s="39">
        <f t="shared" ca="1" si="13"/>
        <v>1454.0000000000005</v>
      </c>
      <c r="L20" s="39">
        <f t="shared" ca="1" si="13"/>
        <v>1530.0000000000007</v>
      </c>
      <c r="M20" s="39">
        <f t="shared" ca="1" si="13"/>
        <v>1609.0000000000007</v>
      </c>
      <c r="N20" s="39">
        <f t="shared" ca="1" si="13"/>
        <v>1691.0000000000009</v>
      </c>
      <c r="O20" s="39">
        <f t="shared" ca="1" si="13"/>
        <v>1774.0000000000009</v>
      </c>
      <c r="P20" s="39">
        <f t="shared" ca="1" si="13"/>
        <v>1860.0000000000011</v>
      </c>
      <c r="Q20" s="39">
        <f t="shared" ca="1" si="13"/>
        <v>1948.0000000000014</v>
      </c>
      <c r="R20" s="39">
        <f t="shared" ca="1" si="13"/>
        <v>2039.0000000000016</v>
      </c>
      <c r="S20" s="39">
        <f t="shared" ca="1" si="13"/>
        <v>2123.2553255250518</v>
      </c>
      <c r="T20" s="39">
        <f t="shared" ca="1" si="13"/>
        <v>2210.992240005145</v>
      </c>
      <c r="U20" s="39">
        <f t="shared" ca="1" si="13"/>
        <v>2302.3546092621309</v>
      </c>
      <c r="V20" s="39">
        <f t="shared" ca="1" si="13"/>
        <v>2397.4922439249463</v>
      </c>
      <c r="W20" s="39">
        <f t="shared" ca="1" si="13"/>
        <v>2496.5611450802576</v>
      </c>
      <c r="X20" s="39">
        <f t="shared" ca="1" si="13"/>
        <v>2599.7237600738472</v>
      </c>
      <c r="Y20" s="39">
        <f t="shared" ca="1" si="13"/>
        <v>3742.7616414953864</v>
      </c>
      <c r="Z20" s="39">
        <f t="shared" ca="1" si="13"/>
        <v>5611.0240811261656</v>
      </c>
      <c r="AA20" s="39">
        <f t="shared" ca="1" si="13"/>
        <v>5611.0240811261656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149</v>
      </c>
      <c r="D33" s="23">
        <f ca="1">D20/(D34*8.76)</f>
        <v>149</v>
      </c>
      <c r="E33" s="23">
        <f ca="1">E20/(E34*8.76)</f>
        <v>160.00000000000003</v>
      </c>
      <c r="F33" s="23">
        <f t="shared" ref="F33:X33" ca="1" si="14">F20/(F34*8.76)</f>
        <v>171.00000000000003</v>
      </c>
      <c r="G33" s="23">
        <f t="shared" ca="1" si="14"/>
        <v>183.00000000000006</v>
      </c>
      <c r="H33" s="23">
        <f t="shared" ca="1" si="14"/>
        <v>215.00000000000003</v>
      </c>
      <c r="I33" s="23">
        <f t="shared" ca="1" si="14"/>
        <v>229.00000000000009</v>
      </c>
      <c r="J33" s="23">
        <f t="shared" ca="1" si="14"/>
        <v>243.00000000000003</v>
      </c>
      <c r="K33" s="23">
        <f t="shared" ca="1" si="14"/>
        <v>257.00000000000011</v>
      </c>
      <c r="L33" s="23">
        <f t="shared" ca="1" si="14"/>
        <v>272.00000000000006</v>
      </c>
      <c r="M33" s="23">
        <f t="shared" ca="1" si="14"/>
        <v>287.00000000000011</v>
      </c>
      <c r="N33" s="23">
        <f t="shared" ca="1" si="14"/>
        <v>303.00000000000011</v>
      </c>
      <c r="O33" s="23">
        <f t="shared" ca="1" si="14"/>
        <v>319.00000000000023</v>
      </c>
      <c r="P33" s="23">
        <f t="shared" ca="1" si="14"/>
        <v>336.00000000000023</v>
      </c>
      <c r="Q33" s="23">
        <f t="shared" ca="1" si="14"/>
        <v>353.00000000000023</v>
      </c>
      <c r="R33" s="23">
        <f t="shared" ca="1" si="14"/>
        <v>370.00000000000028</v>
      </c>
      <c r="S33" s="23">
        <f t="shared" ca="1" si="14"/>
        <v>385.28909781474704</v>
      </c>
      <c r="T33" s="23">
        <f t="shared" ca="1" si="14"/>
        <v>401.20996998622053</v>
      </c>
      <c r="U33" s="23">
        <f t="shared" ca="1" si="14"/>
        <v>417.78872262235825</v>
      </c>
      <c r="V33" s="23">
        <f t="shared" ca="1" si="14"/>
        <v>435.05254058471314</v>
      </c>
      <c r="W33" s="23">
        <f t="shared" ca="1" si="14"/>
        <v>453.02973206458819</v>
      </c>
      <c r="X33" s="23">
        <f t="shared" ca="1" si="14"/>
        <v>471.74977500113954</v>
      </c>
    </row>
    <row r="34" spans="1:24" ht="15" x14ac:dyDescent="0.25">
      <c r="A34" s="1" t="s">
        <v>7</v>
      </c>
      <c r="C34" s="77">
        <f ca="1">C41/(C44*8.76)</f>
        <v>0.63972909196776073</v>
      </c>
      <c r="D34" s="77">
        <f ca="1">D41/(D44*8.76)</f>
        <v>0.65045508871931601</v>
      </c>
      <c r="E34" s="77">
        <f t="shared" ref="E34:R34" ca="1" si="15">E41/(E44*8.76)</f>
        <v>0.65068493150684936</v>
      </c>
      <c r="F34" s="77">
        <f t="shared" ca="1" si="15"/>
        <v>0.65222035301343162</v>
      </c>
      <c r="G34" s="77">
        <f t="shared" ca="1" si="15"/>
        <v>0.65124635077475856</v>
      </c>
      <c r="H34" s="77">
        <f t="shared" ca="1" si="15"/>
        <v>0.65572900074333662</v>
      </c>
      <c r="I34" s="77">
        <f t="shared" ca="1" si="15"/>
        <v>0.65103387768937804</v>
      </c>
      <c r="J34" s="77">
        <f t="shared" ca="1" si="15"/>
        <v>0.64781930586090919</v>
      </c>
      <c r="K34" s="77">
        <f t="shared" ca="1" si="15"/>
        <v>0.64584332747010642</v>
      </c>
      <c r="L34" s="77">
        <f t="shared" ca="1" si="15"/>
        <v>0.64212328767123295</v>
      </c>
      <c r="M34" s="77">
        <f t="shared" ca="1" si="15"/>
        <v>0.63998536267163064</v>
      </c>
      <c r="N34" s="77">
        <f t="shared" ca="1" si="15"/>
        <v>0.63708425637084265</v>
      </c>
      <c r="O34" s="77">
        <f t="shared" ca="1" si="15"/>
        <v>0.63483202358969948</v>
      </c>
      <c r="P34" s="77">
        <f t="shared" ca="1" si="15"/>
        <v>0.63193085453359421</v>
      </c>
      <c r="Q34" s="77">
        <f t="shared" ca="1" si="15"/>
        <v>0.62995589015225018</v>
      </c>
      <c r="R34" s="77">
        <f t="shared" ca="1" si="15"/>
        <v>0.62908799210169075</v>
      </c>
      <c r="S34" s="14">
        <f t="shared" ref="S34:X34" ca="1" si="16">R34</f>
        <v>0.62908799210169075</v>
      </c>
      <c r="T34" s="14">
        <f t="shared" ca="1" si="16"/>
        <v>0.62908799210169075</v>
      </c>
      <c r="U34" s="14">
        <f t="shared" ca="1" si="16"/>
        <v>0.62908799210169075</v>
      </c>
      <c r="V34" s="14">
        <f t="shared" ca="1" si="16"/>
        <v>0.62908799210169075</v>
      </c>
      <c r="W34" s="14">
        <f t="shared" ca="1" si="16"/>
        <v>0.62908799210169075</v>
      </c>
      <c r="X34" s="14">
        <f t="shared" ca="1" si="16"/>
        <v>0.62908799210169075</v>
      </c>
    </row>
    <row r="35" spans="1:24" ht="15" x14ac:dyDescent="0.25">
      <c r="A35" s="1" t="s">
        <v>8</v>
      </c>
      <c r="C35" s="15"/>
      <c r="D35" s="15">
        <f t="shared" ref="D35:X35" ca="1" si="17">D33/C33-1</f>
        <v>0</v>
      </c>
      <c r="E35" s="15">
        <f t="shared" ca="1" si="17"/>
        <v>7.3825503355704925E-2</v>
      </c>
      <c r="F35" s="15">
        <f t="shared" ca="1" si="17"/>
        <v>6.8750000000000089E-2</v>
      </c>
      <c r="G35" s="15">
        <f t="shared" ca="1" si="17"/>
        <v>7.0175438596491446E-2</v>
      </c>
      <c r="H35" s="15">
        <f t="shared" ca="1" si="17"/>
        <v>0.17486338797814183</v>
      </c>
      <c r="I35" s="15">
        <f t="shared" ca="1" si="17"/>
        <v>6.5116279069767691E-2</v>
      </c>
      <c r="J35" s="15">
        <f t="shared" ca="1" si="17"/>
        <v>6.1135371179039E-2</v>
      </c>
      <c r="K35" s="15">
        <f t="shared" ca="1" si="17"/>
        <v>5.7613168724280239E-2</v>
      </c>
      <c r="L35" s="15">
        <f t="shared" ca="1" si="17"/>
        <v>5.8365758754863606E-2</v>
      </c>
      <c r="M35" s="15">
        <f t="shared" ca="1" si="17"/>
        <v>5.514705882352966E-2</v>
      </c>
      <c r="N35" s="15">
        <f t="shared" ca="1" si="17"/>
        <v>5.5749128919860613E-2</v>
      </c>
      <c r="O35" s="15">
        <f t="shared" ca="1" si="17"/>
        <v>5.2805280528053222E-2</v>
      </c>
      <c r="P35" s="15">
        <f t="shared" ca="1" si="17"/>
        <v>5.3291536050156685E-2</v>
      </c>
      <c r="Q35" s="15">
        <f t="shared" ca="1" si="17"/>
        <v>5.0595238095238138E-2</v>
      </c>
      <c r="R35" s="15">
        <f t="shared" ca="1" si="17"/>
        <v>4.8158640226628968E-2</v>
      </c>
      <c r="S35" s="15">
        <f t="shared" ca="1" si="17"/>
        <v>4.1321885985801998E-2</v>
      </c>
      <c r="T35" s="15">
        <f t="shared" ca="1" si="17"/>
        <v>4.1321885985801998E-2</v>
      </c>
      <c r="U35" s="15">
        <f t="shared" ca="1" si="17"/>
        <v>4.132188598580222E-2</v>
      </c>
      <c r="V35" s="15">
        <f t="shared" ca="1" si="17"/>
        <v>4.1321885985801776E-2</v>
      </c>
      <c r="W35" s="15">
        <f t="shared" ca="1" si="17"/>
        <v>4.1321885985801998E-2</v>
      </c>
      <c r="X35" s="15">
        <f t="shared" ca="1" si="17"/>
        <v>4.1321885985801998E-2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149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199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835</v>
      </c>
      <c r="D41" s="74">
        <f ca="1">VALUE(OFFSET(SourceData!$A$4,$B$40+D$2-2011,SourceData!$D$1+General!$B$1))</f>
        <v>849</v>
      </c>
      <c r="E41" s="74">
        <f ca="1">VALUE(OFFSET(SourceData!$A$4,$B$40+E$2-2011,SourceData!$D$1+General!$B$1))</f>
        <v>912</v>
      </c>
      <c r="F41" s="74">
        <f ca="1">VALUE(OFFSET(SourceData!$A$4,$B$40+F$2-2011,SourceData!$D$1+General!$B$1))</f>
        <v>977</v>
      </c>
      <c r="G41" s="74">
        <f ca="1">VALUE(OFFSET(SourceData!$A$4,$B$40+G$2-2011,SourceData!$D$1+General!$B$1))</f>
        <v>1044</v>
      </c>
      <c r="H41" s="74">
        <f ca="1">VALUE(OFFSET(SourceData!$A$4,$B$40+H$2-2011,SourceData!$D$1+General!$B$1))</f>
        <v>1235</v>
      </c>
      <c r="I41" s="74">
        <f ca="1">VALUE(OFFSET(SourceData!$A$4,$B$40+I$2-2011,SourceData!$D$1+General!$B$1))</f>
        <v>1306</v>
      </c>
      <c r="J41" s="74">
        <f ca="1">VALUE(OFFSET(SourceData!$A$4,$B$40+J$2-2011,SourceData!$D$1+General!$B$1))</f>
        <v>1379</v>
      </c>
      <c r="K41" s="74">
        <f ca="1">VALUE(OFFSET(SourceData!$A$4,$B$40+K$2-2011,SourceData!$D$1+General!$B$1))</f>
        <v>1454</v>
      </c>
      <c r="L41" s="74">
        <f ca="1">VALUE(OFFSET(SourceData!$A$4,$B$40+L$2-2011,SourceData!$D$1+General!$B$1))</f>
        <v>1530</v>
      </c>
      <c r="M41" s="74">
        <f ca="1">VALUE(OFFSET(SourceData!$A$4,$B$40+M$2-2011,SourceData!$D$1+General!$B$1))</f>
        <v>1609</v>
      </c>
      <c r="N41" s="74">
        <f ca="1">VALUE(OFFSET(SourceData!$A$4,$B$40+N$2-2011,SourceData!$D$1+General!$B$1))</f>
        <v>1691</v>
      </c>
      <c r="O41" s="74">
        <f ca="1">VALUE(OFFSET(SourceData!$A$4,$B$40+O$2-2011,SourceData!$D$1+General!$B$1))</f>
        <v>1774</v>
      </c>
      <c r="P41" s="74">
        <f ca="1">VALUE(OFFSET(SourceData!$A$4,$B$40+P$2-2011,SourceData!$D$1+General!$B$1))</f>
        <v>1860</v>
      </c>
      <c r="Q41" s="74">
        <f ca="1">VALUE(OFFSET(SourceData!$A$4,$B$40+Q$2-2011,SourceData!$D$1+General!$B$1))</f>
        <v>1948</v>
      </c>
      <c r="R41" s="74">
        <f ca="1">VALUE(OFFSET(SourceData!$A$4,$B$40+R$2-2011,SourceData!$D$1+General!$B$1))</f>
        <v>2039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1.6766467065868262E-2</v>
      </c>
      <c r="E42" s="21">
        <f t="shared" ref="E42:R42" ca="1" si="18">E41/D41-1</f>
        <v>7.4204946996466514E-2</v>
      </c>
      <c r="F42" s="21">
        <f t="shared" ca="1" si="18"/>
        <v>7.1271929824561431E-2</v>
      </c>
      <c r="G42" s="21">
        <f t="shared" ca="1" si="18"/>
        <v>6.8577277379733959E-2</v>
      </c>
      <c r="H42" s="21">
        <f t="shared" ca="1" si="18"/>
        <v>0.18295019157088133</v>
      </c>
      <c r="I42" s="21">
        <f t="shared" ca="1" si="18"/>
        <v>5.7489878542510198E-2</v>
      </c>
      <c r="J42" s="21">
        <f t="shared" ca="1" si="18"/>
        <v>5.5895865237366005E-2</v>
      </c>
      <c r="K42" s="21">
        <f t="shared" ca="1" si="18"/>
        <v>5.4387237128353805E-2</v>
      </c>
      <c r="L42" s="21">
        <f t="shared" ca="1" si="18"/>
        <v>5.2269601100412677E-2</v>
      </c>
      <c r="M42" s="21">
        <f t="shared" ca="1" si="18"/>
        <v>5.1633986928104614E-2</v>
      </c>
      <c r="N42" s="21">
        <f t="shared" ca="1" si="18"/>
        <v>5.0963331261653311E-2</v>
      </c>
      <c r="O42" s="21">
        <f t="shared" ca="1" si="18"/>
        <v>4.9083382613837934E-2</v>
      </c>
      <c r="P42" s="21">
        <f t="shared" ca="1" si="18"/>
        <v>4.8478015783540052E-2</v>
      </c>
      <c r="Q42" s="21">
        <f t="shared" ca="1" si="18"/>
        <v>4.7311827956989294E-2</v>
      </c>
      <c r="R42" s="21">
        <f t="shared" ca="1" si="18"/>
        <v>4.6714579055441519E-2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149</v>
      </c>
      <c r="D44" s="74">
        <f ca="1">VALUE(OFFSET(SourceData!$A$4,$B$40+D$2-2011,SourceData!$J$1+General!$B$1))</f>
        <v>149</v>
      </c>
      <c r="E44" s="74">
        <f ca="1">VALUE(OFFSET(SourceData!$A$4,$B$40+E$2-2011,SourceData!$J$1+General!$B$1))</f>
        <v>160</v>
      </c>
      <c r="F44" s="74">
        <f ca="1">VALUE(OFFSET(SourceData!$A$4,$B$40+F$2-2011,SourceData!$J$1+General!$B$1))</f>
        <v>171</v>
      </c>
      <c r="G44" s="74">
        <f ca="1">VALUE(OFFSET(SourceData!$A$4,$B$40+G$2-2011,SourceData!$J$1+General!$B$1))</f>
        <v>183</v>
      </c>
      <c r="H44" s="74">
        <f ca="1">VALUE(OFFSET(SourceData!$A$4,$B$40+H$2-2011,SourceData!$J$1+General!$B$1))</f>
        <v>215</v>
      </c>
      <c r="I44" s="74">
        <f ca="1">VALUE(OFFSET(SourceData!$A$4,$B$40+I$2-2011,SourceData!$J$1+General!$B$1))</f>
        <v>229</v>
      </c>
      <c r="J44" s="74">
        <f ca="1">VALUE(OFFSET(SourceData!$A$4,$B$40+J$2-2011,SourceData!$J$1+General!$B$1))</f>
        <v>243</v>
      </c>
      <c r="K44" s="74">
        <f ca="1">VALUE(OFFSET(SourceData!$A$4,$B$40+K$2-2011,SourceData!$J$1+General!$B$1))</f>
        <v>257</v>
      </c>
      <c r="L44" s="74">
        <f ca="1">VALUE(OFFSET(SourceData!$A$4,$B$40+L$2-2011,SourceData!$J$1+General!$B$1))</f>
        <v>272</v>
      </c>
      <c r="M44" s="74">
        <f ca="1">VALUE(OFFSET(SourceData!$A$4,$B$40+M$2-2011,SourceData!$J$1+General!$B$1))</f>
        <v>287</v>
      </c>
      <c r="N44" s="74">
        <f ca="1">VALUE(OFFSET(SourceData!$A$4,$B$40+N$2-2011,SourceData!$J$1+General!$B$1))</f>
        <v>303</v>
      </c>
      <c r="O44" s="74">
        <f ca="1">VALUE(OFFSET(SourceData!$A$4,$B$40+O$2-2011,SourceData!$J$1+General!$B$1))</f>
        <v>319</v>
      </c>
      <c r="P44" s="74">
        <f ca="1">VALUE(OFFSET(SourceData!$A$4,$B$40+P$2-2011,SourceData!$J$1+General!$B$1))</f>
        <v>336</v>
      </c>
      <c r="Q44" s="74">
        <f ca="1">VALUE(OFFSET(SourceData!$A$4,$B$40+Q$2-2011,SourceData!$J$1+General!$B$1))</f>
        <v>353</v>
      </c>
      <c r="R44" s="74">
        <f ca="1">VALUE(OFFSET(SourceData!$A$4,$B$40+R$2-2011,SourceData!$J$1+General!$B$1))</f>
        <v>370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19">E44/D44-1</f>
        <v>7.3825503355704702E-2</v>
      </c>
      <c r="F45" s="17">
        <f t="shared" ca="1" si="19"/>
        <v>6.8750000000000089E-2</v>
      </c>
      <c r="G45" s="17">
        <f t="shared" ca="1" si="19"/>
        <v>7.0175438596491224E-2</v>
      </c>
      <c r="H45" s="17">
        <f t="shared" ca="1" si="19"/>
        <v>0.17486338797814205</v>
      </c>
      <c r="I45" s="17">
        <f t="shared" ca="1" si="19"/>
        <v>6.5116279069767469E-2</v>
      </c>
      <c r="J45" s="17">
        <f t="shared" ca="1" si="19"/>
        <v>6.1135371179039222E-2</v>
      </c>
      <c r="K45" s="17">
        <f t="shared" ca="1" si="19"/>
        <v>5.7613168724279795E-2</v>
      </c>
      <c r="L45" s="17">
        <f t="shared" ca="1" si="19"/>
        <v>5.8365758754863828E-2</v>
      </c>
      <c r="M45" s="17">
        <f t="shared" ca="1" si="19"/>
        <v>5.5147058823529438E-2</v>
      </c>
      <c r="N45" s="17">
        <f t="shared" ca="1" si="19"/>
        <v>5.5749128919860613E-2</v>
      </c>
      <c r="O45" s="17">
        <f t="shared" ca="1" si="19"/>
        <v>5.2805280528052778E-2</v>
      </c>
      <c r="P45" s="17">
        <f t="shared" ca="1" si="19"/>
        <v>5.3291536050156685E-2</v>
      </c>
      <c r="Q45" s="17">
        <f t="shared" ca="1" si="19"/>
        <v>5.0595238095238138E-2</v>
      </c>
      <c r="R45" s="17">
        <f t="shared" ca="1" si="19"/>
        <v>4.8158640226628968E-2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740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D6" sqref="D6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81</v>
      </c>
      <c r="B2" s="26" t="str">
        <f>VLOOKUP(A2,General!$A$9:$B$23,2,FALSE)</f>
        <v>NGA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0.68699441292577168</v>
      </c>
      <c r="E4" s="27">
        <f t="shared" ref="E4:R4" ca="1" si="1">E42</f>
        <v>0.48506470257275836</v>
      </c>
      <c r="F4" s="27">
        <f t="shared" ca="1" si="1"/>
        <v>5.6002342041364672E-2</v>
      </c>
      <c r="G4" s="27">
        <f t="shared" ca="1" si="1"/>
        <v>5.9408685442181364E-2</v>
      </c>
      <c r="H4" s="27">
        <f t="shared" ca="1" si="1"/>
        <v>5.9509882396404201E-2</v>
      </c>
      <c r="I4" s="27">
        <f t="shared" ca="1" si="1"/>
        <v>5.9508935057387857E-2</v>
      </c>
      <c r="J4" s="27">
        <f t="shared" ca="1" si="1"/>
        <v>5.9402682170967891E-2</v>
      </c>
      <c r="K4" s="27">
        <f t="shared" ca="1" si="1"/>
        <v>5.9514872246239969E-2</v>
      </c>
      <c r="L4" s="27">
        <f t="shared" ca="1" si="1"/>
        <v>5.9384773260359625E-2</v>
      </c>
      <c r="M4" s="27">
        <f t="shared" ca="1" si="1"/>
        <v>5.9457776445218435E-2</v>
      </c>
      <c r="N4" s="27">
        <f t="shared" ca="1" si="1"/>
        <v>7.4657407508190721E-2</v>
      </c>
      <c r="O4" s="27">
        <f t="shared" ca="1" si="1"/>
        <v>5.9474131993679791E-2</v>
      </c>
      <c r="P4" s="27">
        <f t="shared" ca="1" si="1"/>
        <v>5.943367366448693E-2</v>
      </c>
      <c r="Q4" s="27">
        <f t="shared" ca="1" si="1"/>
        <v>5.9474287364308154E-2</v>
      </c>
      <c r="R4" s="27">
        <f t="shared" ca="1" si="1"/>
        <v>5.9457295676762278E-2</v>
      </c>
      <c r="S4" s="17">
        <f ca="1">$W$4</f>
        <v>4.1219311436925032E-2</v>
      </c>
      <c r="T4" s="17">
        <f t="shared" ref="T4:V4" ca="1" si="2">$W$4</f>
        <v>4.1219311436925032E-2</v>
      </c>
      <c r="U4" s="17">
        <f t="shared" ca="1" si="2"/>
        <v>4.1219311436925032E-2</v>
      </c>
      <c r="V4" s="17">
        <f t="shared" ca="1" si="2"/>
        <v>4.1219311436925032E-2</v>
      </c>
      <c r="W4" s="17">
        <f ca="1">SUMIF(SourceData!$AO$3:$BA$3,$B$2,SourceData!$AO$25:$BA$25)</f>
        <v>4.1219311436925032E-2</v>
      </c>
      <c r="X4" s="73">
        <f ca="1">W4</f>
        <v>4.1219311436925032E-2</v>
      </c>
      <c r="Y4" s="17">
        <f ca="1">SUMIF(SourceData!$AO$3:$BA$3,$B$2,SourceData!$AO$27:$BA$27)</f>
        <v>4.1219311436925032E-2</v>
      </c>
      <c r="Z4" s="17">
        <f ca="1">SUMIF(SourceData!$AO$3:$BA$3,$B$2,SourceData!$AO$28:$BA$28)</f>
        <v>4.1219311436925032E-2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19701.724999999999</v>
      </c>
      <c r="D5" s="7">
        <f t="shared" ref="D5:X5" ca="1" si="3">C5*(1+D4)</f>
        <v>33236.699999999997</v>
      </c>
      <c r="E5" s="7">
        <f t="shared" ca="1" si="3"/>
        <v>49358.649999999994</v>
      </c>
      <c r="F5" s="7">
        <f t="shared" ca="1" si="3"/>
        <v>52122.85</v>
      </c>
      <c r="G5" s="7">
        <f t="shared" ca="1" si="3"/>
        <v>55219.4</v>
      </c>
      <c r="H5" s="7">
        <f t="shared" ca="1" si="3"/>
        <v>58505.500000000007</v>
      </c>
      <c r="I5" s="7">
        <f t="shared" ca="1" si="3"/>
        <v>61987.100000000013</v>
      </c>
      <c r="J5" s="7">
        <f t="shared" ca="1" si="3"/>
        <v>65669.300000000017</v>
      </c>
      <c r="K5" s="7">
        <f t="shared" ca="1" si="3"/>
        <v>69577.60000000002</v>
      </c>
      <c r="L5" s="7">
        <f t="shared" ca="1" si="3"/>
        <v>73709.450000000026</v>
      </c>
      <c r="M5" s="7">
        <f t="shared" ca="1" si="3"/>
        <v>78092.050000000032</v>
      </c>
      <c r="N5" s="7">
        <f t="shared" ca="1" si="3"/>
        <v>83922.200000000041</v>
      </c>
      <c r="O5" s="7">
        <f t="shared" ca="1" si="3"/>
        <v>88913.400000000038</v>
      </c>
      <c r="P5" s="7">
        <f t="shared" ca="1" si="3"/>
        <v>94197.850000000035</v>
      </c>
      <c r="Q5" s="7">
        <f t="shared" ca="1" si="3"/>
        <v>99800.200000000026</v>
      </c>
      <c r="R5" s="7">
        <f t="shared" ca="1" si="3"/>
        <v>105734.05000000003</v>
      </c>
      <c r="S5" s="7">
        <f t="shared" ca="1" si="3"/>
        <v>110092.33473643743</v>
      </c>
      <c r="T5" s="7">
        <f t="shared" ca="1" si="3"/>
        <v>114630.26496875685</v>
      </c>
      <c r="U5" s="7">
        <f t="shared" ca="1" si="3"/>
        <v>119355.24556060128</v>
      </c>
      <c r="V5" s="7">
        <f t="shared" ca="1" si="3"/>
        <v>124274.98659899436</v>
      </c>
      <c r="W5" s="7">
        <f t="shared" ca="1" si="3"/>
        <v>129397.515975438</v>
      </c>
      <c r="X5" s="7">
        <f t="shared" ca="1" si="3"/>
        <v>134731.19248559407</v>
      </c>
      <c r="Y5" s="7">
        <f ca="1">W5*(1+Y4)^(Y2-W2)</f>
        <v>193797.46094488059</v>
      </c>
      <c r="Z5" s="7">
        <f t="shared" ref="Z5:AA5" ca="1" si="4">Y5*(1+Z4)^(Z2-Y2)</f>
        <v>290248.66192803578</v>
      </c>
      <c r="AA5" s="7">
        <f t="shared" ca="1" si="4"/>
        <v>290248.66192803578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19701.724999999999</v>
      </c>
      <c r="D8" s="8">
        <f t="shared" ca="1" si="6"/>
        <v>33236.699999999997</v>
      </c>
      <c r="E8" s="8">
        <f t="shared" ca="1" si="6"/>
        <v>49358.649999999994</v>
      </c>
      <c r="F8" s="8">
        <f t="shared" ca="1" si="6"/>
        <v>52122.85</v>
      </c>
      <c r="G8" s="8">
        <f t="shared" ca="1" si="6"/>
        <v>55219.4</v>
      </c>
      <c r="H8" s="8">
        <f t="shared" ca="1" si="6"/>
        <v>58505.500000000007</v>
      </c>
      <c r="I8" s="8">
        <f t="shared" ca="1" si="6"/>
        <v>61987.100000000013</v>
      </c>
      <c r="J8" s="8">
        <f t="shared" ca="1" si="6"/>
        <v>65669.300000000017</v>
      </c>
      <c r="K8" s="8">
        <f t="shared" ca="1" si="6"/>
        <v>69577.60000000002</v>
      </c>
      <c r="L8" s="8">
        <f t="shared" ca="1" si="6"/>
        <v>73709.450000000026</v>
      </c>
      <c r="M8" s="8">
        <f t="shared" ca="1" si="6"/>
        <v>78092.050000000032</v>
      </c>
      <c r="N8" s="8">
        <f t="shared" ca="1" si="6"/>
        <v>83922.200000000041</v>
      </c>
      <c r="O8" s="8">
        <f t="shared" ca="1" si="6"/>
        <v>88913.400000000038</v>
      </c>
      <c r="P8" s="8">
        <f t="shared" ca="1" si="6"/>
        <v>94197.850000000035</v>
      </c>
      <c r="Q8" s="8">
        <f t="shared" ca="1" si="6"/>
        <v>99800.200000000026</v>
      </c>
      <c r="R8" s="8">
        <f t="shared" ca="1" si="6"/>
        <v>105734.05000000003</v>
      </c>
      <c r="S8" s="8">
        <f t="shared" ca="1" si="6"/>
        <v>110092.33473643743</v>
      </c>
      <c r="T8" s="8">
        <f t="shared" ca="1" si="6"/>
        <v>114630.26496875685</v>
      </c>
      <c r="U8" s="8">
        <f t="shared" ca="1" si="6"/>
        <v>119355.24556060128</v>
      </c>
      <c r="V8" s="8">
        <f t="shared" ca="1" si="6"/>
        <v>124274.98659899436</v>
      </c>
      <c r="W8" s="8">
        <f t="shared" ca="1" si="6"/>
        <v>129397.515975438</v>
      </c>
      <c r="X8" s="8">
        <f t="shared" ca="1" si="6"/>
        <v>134731.19248559407</v>
      </c>
      <c r="Y8" s="8">
        <f t="shared" ca="1" si="6"/>
        <v>193797.46094488059</v>
      </c>
      <c r="Z8" s="8">
        <f t="shared" ca="1" si="6"/>
        <v>290248.66192803578</v>
      </c>
      <c r="AA8" s="8">
        <f t="shared" ca="1" si="6"/>
        <v>290248.66192803578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23178.5</v>
      </c>
      <c r="D11" s="8">
        <f t="shared" ca="1" si="8"/>
        <v>39102</v>
      </c>
      <c r="E11" s="8">
        <f t="shared" ca="1" si="8"/>
        <v>58068.999999999993</v>
      </c>
      <c r="F11" s="8">
        <f t="shared" ca="1" si="8"/>
        <v>61321</v>
      </c>
      <c r="G11" s="8">
        <f t="shared" ca="1" si="8"/>
        <v>64964</v>
      </c>
      <c r="H11" s="8">
        <f t="shared" ca="1" si="8"/>
        <v>68830.000000000015</v>
      </c>
      <c r="I11" s="8">
        <f t="shared" ca="1" si="8"/>
        <v>72926.000000000015</v>
      </c>
      <c r="J11" s="8">
        <f t="shared" ca="1" si="8"/>
        <v>77258.000000000029</v>
      </c>
      <c r="K11" s="8">
        <f t="shared" ca="1" si="8"/>
        <v>81856.000000000029</v>
      </c>
      <c r="L11" s="8">
        <f t="shared" ca="1" si="8"/>
        <v>86717.000000000029</v>
      </c>
      <c r="M11" s="8">
        <f t="shared" ca="1" si="8"/>
        <v>91873.000000000044</v>
      </c>
      <c r="N11" s="8">
        <f t="shared" ca="1" si="8"/>
        <v>98732.000000000044</v>
      </c>
      <c r="O11" s="8">
        <f t="shared" ca="1" si="8"/>
        <v>104604.00000000004</v>
      </c>
      <c r="P11" s="8">
        <f t="shared" ca="1" si="8"/>
        <v>110821.00000000004</v>
      </c>
      <c r="Q11" s="8">
        <f t="shared" ca="1" si="8"/>
        <v>117412.00000000003</v>
      </c>
      <c r="R11" s="8">
        <f t="shared" ca="1" si="8"/>
        <v>124393.00000000004</v>
      </c>
      <c r="S11" s="8">
        <f t="shared" ca="1" si="8"/>
        <v>129520.39380757346</v>
      </c>
      <c r="T11" s="8">
        <f t="shared" ca="1" si="8"/>
        <v>134859.13525736099</v>
      </c>
      <c r="U11" s="8">
        <f t="shared" ca="1" si="8"/>
        <v>140417.93595364856</v>
      </c>
      <c r="V11" s="8">
        <f t="shared" ca="1" si="8"/>
        <v>146205.86658705221</v>
      </c>
      <c r="W11" s="8">
        <f t="shared" ca="1" si="8"/>
        <v>152232.37173580943</v>
      </c>
      <c r="X11" s="8">
        <f t="shared" ca="1" si="8"/>
        <v>158507.28527716949</v>
      </c>
      <c r="Y11" s="8">
        <f t="shared" ca="1" si="8"/>
        <v>227997.01287633012</v>
      </c>
      <c r="Z11" s="8">
        <f t="shared" ca="1" si="8"/>
        <v>341469.01403298328</v>
      </c>
      <c r="AA11" s="8">
        <f t="shared" ca="1" si="8"/>
        <v>341469.01403298328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23178.5</v>
      </c>
      <c r="D20" s="39">
        <f t="shared" ca="1" si="13"/>
        <v>39102</v>
      </c>
      <c r="E20" s="39">
        <f t="shared" ca="1" si="13"/>
        <v>58068.999999999993</v>
      </c>
      <c r="F20" s="39">
        <f t="shared" ca="1" si="13"/>
        <v>61321</v>
      </c>
      <c r="G20" s="39">
        <f t="shared" ca="1" si="13"/>
        <v>64964</v>
      </c>
      <c r="H20" s="39">
        <f t="shared" ca="1" si="13"/>
        <v>68830.000000000015</v>
      </c>
      <c r="I20" s="39">
        <f t="shared" ca="1" si="13"/>
        <v>72926.000000000015</v>
      </c>
      <c r="J20" s="39">
        <f t="shared" ca="1" si="13"/>
        <v>77258.000000000029</v>
      </c>
      <c r="K20" s="39">
        <f t="shared" ca="1" si="13"/>
        <v>81856.000000000029</v>
      </c>
      <c r="L20" s="39">
        <f t="shared" ca="1" si="13"/>
        <v>86717.000000000029</v>
      </c>
      <c r="M20" s="39">
        <f t="shared" ca="1" si="13"/>
        <v>91873.000000000044</v>
      </c>
      <c r="N20" s="39">
        <f t="shared" ca="1" si="13"/>
        <v>98732.000000000044</v>
      </c>
      <c r="O20" s="39">
        <f t="shared" ca="1" si="13"/>
        <v>104604.00000000004</v>
      </c>
      <c r="P20" s="39">
        <f t="shared" ca="1" si="13"/>
        <v>110821.00000000004</v>
      </c>
      <c r="Q20" s="39">
        <f t="shared" ca="1" si="13"/>
        <v>117412.00000000003</v>
      </c>
      <c r="R20" s="39">
        <f t="shared" ca="1" si="13"/>
        <v>124393.00000000004</v>
      </c>
      <c r="S20" s="39">
        <f t="shared" ca="1" si="13"/>
        <v>129520.39380757346</v>
      </c>
      <c r="T20" s="39">
        <f t="shared" ca="1" si="13"/>
        <v>134859.13525736099</v>
      </c>
      <c r="U20" s="39">
        <f t="shared" ca="1" si="13"/>
        <v>140417.93595364856</v>
      </c>
      <c r="V20" s="39">
        <f t="shared" ca="1" si="13"/>
        <v>146205.86658705221</v>
      </c>
      <c r="W20" s="39">
        <f t="shared" ca="1" si="13"/>
        <v>152232.37173580943</v>
      </c>
      <c r="X20" s="39">
        <f t="shared" ca="1" si="13"/>
        <v>158507.28527716949</v>
      </c>
      <c r="Y20" s="39">
        <f t="shared" ca="1" si="13"/>
        <v>227997.01287633012</v>
      </c>
      <c r="Z20" s="39">
        <f t="shared" ca="1" si="13"/>
        <v>341469.01403298328</v>
      </c>
      <c r="AA20" s="39">
        <f t="shared" ca="1" si="13"/>
        <v>341469.01403298328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5043</v>
      </c>
      <c r="D33" s="23">
        <f ca="1">D20/(D34*8.76)</f>
        <v>6376.0000000000009</v>
      </c>
      <c r="E33" s="23">
        <f ca="1">E20/(E34*8.76)</f>
        <v>9470.9999999999982</v>
      </c>
      <c r="F33" s="23">
        <f t="shared" ref="F33:X33" ca="1" si="14">F20/(F34*8.76)</f>
        <v>10000.000000000002</v>
      </c>
      <c r="G33" s="23">
        <f t="shared" ca="1" si="14"/>
        <v>10595</v>
      </c>
      <c r="H33" s="23">
        <f t="shared" ca="1" si="14"/>
        <v>11225.000000000002</v>
      </c>
      <c r="I33" s="23">
        <f t="shared" ca="1" si="14"/>
        <v>11892.000000000002</v>
      </c>
      <c r="J33" s="23">
        <f t="shared" ca="1" si="14"/>
        <v>12599.000000000004</v>
      </c>
      <c r="K33" s="23">
        <f t="shared" ca="1" si="14"/>
        <v>13348.000000000005</v>
      </c>
      <c r="L33" s="23">
        <f t="shared" ca="1" si="14"/>
        <v>14142.000000000005</v>
      </c>
      <c r="M33" s="23">
        <f t="shared" ca="1" si="14"/>
        <v>14983.000000000005</v>
      </c>
      <c r="N33" s="23">
        <f t="shared" ca="1" si="14"/>
        <v>15874.000000000005</v>
      </c>
      <c r="O33" s="23">
        <f t="shared" ca="1" si="14"/>
        <v>16818.000000000007</v>
      </c>
      <c r="P33" s="23">
        <f t="shared" ca="1" si="14"/>
        <v>17818.000000000007</v>
      </c>
      <c r="Q33" s="23">
        <f t="shared" ca="1" si="14"/>
        <v>18877.000000000004</v>
      </c>
      <c r="R33" s="23">
        <f t="shared" ca="1" si="14"/>
        <v>20000.000000000004</v>
      </c>
      <c r="S33" s="23">
        <f t="shared" ca="1" si="14"/>
        <v>20824.386228738505</v>
      </c>
      <c r="T33" s="23">
        <f t="shared" ca="1" si="14"/>
        <v>21682.753090183687</v>
      </c>
      <c r="U33" s="23">
        <f t="shared" ca="1" si="14"/>
        <v>22576.50124261792</v>
      </c>
      <c r="V33" s="23">
        <f t="shared" ca="1" si="14"/>
        <v>23507.089078493515</v>
      </c>
      <c r="W33" s="23">
        <f t="shared" ca="1" si="14"/>
        <v>24476.035104195478</v>
      </c>
      <c r="X33" s="23">
        <f t="shared" ca="1" si="14"/>
        <v>25484.920417896421</v>
      </c>
    </row>
    <row r="34" spans="1:24" ht="15" x14ac:dyDescent="0.25">
      <c r="A34" s="1" t="s">
        <v>7</v>
      </c>
      <c r="C34" s="77">
        <f ca="1">C41/(C44*8.76)</f>
        <v>0.52467727316765311</v>
      </c>
      <c r="D34" s="77">
        <f ca="1">D41/(D44*8.76)</f>
        <v>0.70007820422474687</v>
      </c>
      <c r="E34" s="77">
        <f t="shared" ref="E34:R34" ca="1" si="15">E41/(E44*8.76)</f>
        <v>0.69991355490854323</v>
      </c>
      <c r="F34" s="77">
        <f t="shared" ca="1" si="15"/>
        <v>0.70001141552511414</v>
      </c>
      <c r="G34" s="77">
        <f t="shared" ca="1" si="15"/>
        <v>0.69995108401697193</v>
      </c>
      <c r="H34" s="77">
        <f t="shared" ca="1" si="15"/>
        <v>0.69998271145417013</v>
      </c>
      <c r="I34" s="77">
        <f t="shared" ca="1" si="15"/>
        <v>0.70004085475520172</v>
      </c>
      <c r="J34" s="77">
        <f t="shared" ca="1" si="15"/>
        <v>0.70000844453480948</v>
      </c>
      <c r="K34" s="77">
        <f t="shared" ca="1" si="15"/>
        <v>0.70005186076138171</v>
      </c>
      <c r="L34" s="77">
        <f t="shared" ca="1" si="15"/>
        <v>0.6999859223053323</v>
      </c>
      <c r="M34" s="77">
        <f t="shared" ca="1" si="15"/>
        <v>0.69997900207754493</v>
      </c>
      <c r="N34" s="77">
        <f t="shared" ca="1" si="15"/>
        <v>0.71001488318683148</v>
      </c>
      <c r="O34" s="77">
        <f t="shared" ca="1" si="15"/>
        <v>0.71001878287614217</v>
      </c>
      <c r="P34" s="77">
        <f t="shared" ca="1" si="15"/>
        <v>0.71000107120653222</v>
      </c>
      <c r="Q34" s="77">
        <f t="shared" ca="1" si="15"/>
        <v>0.7100278829809803</v>
      </c>
      <c r="R34" s="77">
        <f t="shared" ca="1" si="15"/>
        <v>0.71000570776255711</v>
      </c>
      <c r="S34" s="14">
        <f t="shared" ref="S34:X34" ca="1" si="16">R34</f>
        <v>0.71000570776255711</v>
      </c>
      <c r="T34" s="14">
        <f t="shared" ca="1" si="16"/>
        <v>0.71000570776255711</v>
      </c>
      <c r="U34" s="14">
        <f t="shared" ca="1" si="16"/>
        <v>0.71000570776255711</v>
      </c>
      <c r="V34" s="14">
        <f t="shared" ca="1" si="16"/>
        <v>0.71000570776255711</v>
      </c>
      <c r="W34" s="14">
        <f t="shared" ca="1" si="16"/>
        <v>0.71000570776255711</v>
      </c>
      <c r="X34" s="14">
        <f t="shared" ca="1" si="16"/>
        <v>0.71000570776255711</v>
      </c>
    </row>
    <row r="35" spans="1:24" ht="15" x14ac:dyDescent="0.25">
      <c r="A35" s="1" t="s">
        <v>8</v>
      </c>
      <c r="C35" s="15"/>
      <c r="D35" s="15">
        <f t="shared" ref="D35:X35" ca="1" si="17">D33/C33-1</f>
        <v>0.26432678960935974</v>
      </c>
      <c r="E35" s="15">
        <f t="shared" ca="1" si="17"/>
        <v>0.48541405269761562</v>
      </c>
      <c r="F35" s="15">
        <f t="shared" ca="1" si="17"/>
        <v>5.5854714391300186E-2</v>
      </c>
      <c r="G35" s="15">
        <f t="shared" ca="1" si="17"/>
        <v>5.9499999999999886E-2</v>
      </c>
      <c r="H35" s="15">
        <f t="shared" ca="1" si="17"/>
        <v>5.9462010382255848E-2</v>
      </c>
      <c r="I35" s="15">
        <f t="shared" ca="1" si="17"/>
        <v>5.9420935412026754E-2</v>
      </c>
      <c r="J35" s="15">
        <f t="shared" ca="1" si="17"/>
        <v>5.9451732256979639E-2</v>
      </c>
      <c r="K35" s="15">
        <f t="shared" ca="1" si="17"/>
        <v>5.9449162631955099E-2</v>
      </c>
      <c r="L35" s="15">
        <f t="shared" ca="1" si="17"/>
        <v>5.9484566976325981E-2</v>
      </c>
      <c r="M35" s="15">
        <f t="shared" ca="1" si="17"/>
        <v>5.9468250601046435E-2</v>
      </c>
      <c r="N35" s="15">
        <f t="shared" ca="1" si="17"/>
        <v>5.9467396382566928E-2</v>
      </c>
      <c r="O35" s="15">
        <f t="shared" ca="1" si="17"/>
        <v>5.9468312964596315E-2</v>
      </c>
      <c r="P35" s="15">
        <f t="shared" ca="1" si="17"/>
        <v>5.9460102271375881E-2</v>
      </c>
      <c r="Q35" s="15">
        <f t="shared" ca="1" si="17"/>
        <v>5.9434279941631862E-2</v>
      </c>
      <c r="R35" s="15">
        <f t="shared" ca="1" si="17"/>
        <v>5.9490385124755019E-2</v>
      </c>
      <c r="S35" s="15">
        <f t="shared" ca="1" si="17"/>
        <v>4.1219311436925032E-2</v>
      </c>
      <c r="T35" s="15">
        <f t="shared" ca="1" si="17"/>
        <v>4.121931143692481E-2</v>
      </c>
      <c r="U35" s="15">
        <f t="shared" ca="1" si="17"/>
        <v>4.1219311436925254E-2</v>
      </c>
      <c r="V35" s="15">
        <f t="shared" ca="1" si="17"/>
        <v>4.1219311436925032E-2</v>
      </c>
      <c r="W35" s="15">
        <f t="shared" ca="1" si="17"/>
        <v>4.1219311436925032E-2</v>
      </c>
      <c r="X35" s="15">
        <f t="shared" ca="1" si="17"/>
        <v>4.1219311436925032E-2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5043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217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23178.5</v>
      </c>
      <c r="D41" s="74">
        <f ca="1">VALUE(OFFSET(SourceData!$A$4,$B$40+D$2-2011,SourceData!$D$1+General!$B$1))</f>
        <v>39102</v>
      </c>
      <c r="E41" s="74">
        <f ca="1">VALUE(OFFSET(SourceData!$A$4,$B$40+E$2-2011,SourceData!$D$1+General!$B$1))</f>
        <v>58069</v>
      </c>
      <c r="F41" s="74">
        <f ca="1">VALUE(OFFSET(SourceData!$A$4,$B$40+F$2-2011,SourceData!$D$1+General!$B$1))</f>
        <v>61321</v>
      </c>
      <c r="G41" s="74">
        <f ca="1">VALUE(OFFSET(SourceData!$A$4,$B$40+G$2-2011,SourceData!$D$1+General!$B$1))</f>
        <v>64964</v>
      </c>
      <c r="H41" s="74">
        <f ca="1">VALUE(OFFSET(SourceData!$A$4,$B$40+H$2-2011,SourceData!$D$1+General!$B$1))</f>
        <v>68830</v>
      </c>
      <c r="I41" s="74">
        <f ca="1">VALUE(OFFSET(SourceData!$A$4,$B$40+I$2-2011,SourceData!$D$1+General!$B$1))</f>
        <v>72926</v>
      </c>
      <c r="J41" s="74">
        <f ca="1">VALUE(OFFSET(SourceData!$A$4,$B$40+J$2-2011,SourceData!$D$1+General!$B$1))</f>
        <v>77258</v>
      </c>
      <c r="K41" s="74">
        <f ca="1">VALUE(OFFSET(SourceData!$A$4,$B$40+K$2-2011,SourceData!$D$1+General!$B$1))</f>
        <v>81856</v>
      </c>
      <c r="L41" s="74">
        <f ca="1">VALUE(OFFSET(SourceData!$A$4,$B$40+L$2-2011,SourceData!$D$1+General!$B$1))</f>
        <v>86717</v>
      </c>
      <c r="M41" s="74">
        <f ca="1">VALUE(OFFSET(SourceData!$A$4,$B$40+M$2-2011,SourceData!$D$1+General!$B$1))</f>
        <v>91873</v>
      </c>
      <c r="N41" s="74">
        <f ca="1">VALUE(OFFSET(SourceData!$A$4,$B$40+N$2-2011,SourceData!$D$1+General!$B$1))</f>
        <v>98732</v>
      </c>
      <c r="O41" s="74">
        <f ca="1">VALUE(OFFSET(SourceData!$A$4,$B$40+O$2-2011,SourceData!$D$1+General!$B$1))</f>
        <v>104604</v>
      </c>
      <c r="P41" s="74">
        <f ca="1">VALUE(OFFSET(SourceData!$A$4,$B$40+P$2-2011,SourceData!$D$1+General!$B$1))</f>
        <v>110821</v>
      </c>
      <c r="Q41" s="74">
        <f ca="1">VALUE(OFFSET(SourceData!$A$4,$B$40+Q$2-2011,SourceData!$D$1+General!$B$1))</f>
        <v>117412</v>
      </c>
      <c r="R41" s="74">
        <f ca="1">VALUE(OFFSET(SourceData!$A$4,$B$40+R$2-2011,SourceData!$D$1+General!$B$1))</f>
        <v>124393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0.68699441292577168</v>
      </c>
      <c r="E42" s="21">
        <f t="shared" ref="E42:R42" ca="1" si="18">E41/D41-1</f>
        <v>0.48506470257275836</v>
      </c>
      <c r="F42" s="21">
        <f t="shared" ca="1" si="18"/>
        <v>5.6002342041364672E-2</v>
      </c>
      <c r="G42" s="21">
        <f t="shared" ca="1" si="18"/>
        <v>5.9408685442181364E-2</v>
      </c>
      <c r="H42" s="21">
        <f t="shared" ca="1" si="18"/>
        <v>5.9509882396404201E-2</v>
      </c>
      <c r="I42" s="21">
        <f t="shared" ca="1" si="18"/>
        <v>5.9508935057387857E-2</v>
      </c>
      <c r="J42" s="21">
        <f t="shared" ca="1" si="18"/>
        <v>5.9402682170967891E-2</v>
      </c>
      <c r="K42" s="21">
        <f t="shared" ca="1" si="18"/>
        <v>5.9514872246239969E-2</v>
      </c>
      <c r="L42" s="21">
        <f t="shared" ca="1" si="18"/>
        <v>5.9384773260359625E-2</v>
      </c>
      <c r="M42" s="21">
        <f t="shared" ca="1" si="18"/>
        <v>5.9457776445218435E-2</v>
      </c>
      <c r="N42" s="21">
        <f t="shared" ca="1" si="18"/>
        <v>7.4657407508190721E-2</v>
      </c>
      <c r="O42" s="21">
        <f t="shared" ca="1" si="18"/>
        <v>5.9474131993679791E-2</v>
      </c>
      <c r="P42" s="21">
        <f t="shared" ca="1" si="18"/>
        <v>5.943367366448693E-2</v>
      </c>
      <c r="Q42" s="21">
        <f t="shared" ca="1" si="18"/>
        <v>5.9474287364308154E-2</v>
      </c>
      <c r="R42" s="21">
        <f t="shared" ca="1" si="18"/>
        <v>5.9457295676762278E-2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5043</v>
      </c>
      <c r="D44" s="74">
        <f ca="1">VALUE(OFFSET(SourceData!$A$4,$B$40+D$2-2011,SourceData!$J$1+General!$B$1))</f>
        <v>6376</v>
      </c>
      <c r="E44" s="74">
        <f ca="1">VALUE(OFFSET(SourceData!$A$4,$B$40+E$2-2011,SourceData!$J$1+General!$B$1))</f>
        <v>9471</v>
      </c>
      <c r="F44" s="74">
        <f ca="1">VALUE(OFFSET(SourceData!$A$4,$B$40+F$2-2011,SourceData!$J$1+General!$B$1))</f>
        <v>10000</v>
      </c>
      <c r="G44" s="74">
        <f ca="1">VALUE(OFFSET(SourceData!$A$4,$B$40+G$2-2011,SourceData!$J$1+General!$B$1))</f>
        <v>10595</v>
      </c>
      <c r="H44" s="74">
        <f ca="1">VALUE(OFFSET(SourceData!$A$4,$B$40+H$2-2011,SourceData!$J$1+General!$B$1))</f>
        <v>11225</v>
      </c>
      <c r="I44" s="74">
        <f ca="1">VALUE(OFFSET(SourceData!$A$4,$B$40+I$2-2011,SourceData!$J$1+General!$B$1))</f>
        <v>11892</v>
      </c>
      <c r="J44" s="74">
        <f ca="1">VALUE(OFFSET(SourceData!$A$4,$B$40+J$2-2011,SourceData!$J$1+General!$B$1))</f>
        <v>12599</v>
      </c>
      <c r="K44" s="74">
        <f ca="1">VALUE(OFFSET(SourceData!$A$4,$B$40+K$2-2011,SourceData!$J$1+General!$B$1))</f>
        <v>13348</v>
      </c>
      <c r="L44" s="74">
        <f ca="1">VALUE(OFFSET(SourceData!$A$4,$B$40+L$2-2011,SourceData!$J$1+General!$B$1))</f>
        <v>14142</v>
      </c>
      <c r="M44" s="74">
        <f ca="1">VALUE(OFFSET(SourceData!$A$4,$B$40+M$2-2011,SourceData!$J$1+General!$B$1))</f>
        <v>14983</v>
      </c>
      <c r="N44" s="74">
        <f ca="1">VALUE(OFFSET(SourceData!$A$4,$B$40+N$2-2011,SourceData!$J$1+General!$B$1))</f>
        <v>15874</v>
      </c>
      <c r="O44" s="74">
        <f ca="1">VALUE(OFFSET(SourceData!$A$4,$B$40+O$2-2011,SourceData!$J$1+General!$B$1))</f>
        <v>16818</v>
      </c>
      <c r="P44" s="74">
        <f ca="1">VALUE(OFFSET(SourceData!$A$4,$B$40+P$2-2011,SourceData!$J$1+General!$B$1))</f>
        <v>17818</v>
      </c>
      <c r="Q44" s="74">
        <f ca="1">VALUE(OFFSET(SourceData!$A$4,$B$40+Q$2-2011,SourceData!$J$1+General!$B$1))</f>
        <v>18877</v>
      </c>
      <c r="R44" s="74">
        <f ca="1">VALUE(OFFSET(SourceData!$A$4,$B$40+R$2-2011,SourceData!$J$1+General!$B$1))</f>
        <v>20000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0.26432678960935951</v>
      </c>
      <c r="E45" s="17">
        <f t="shared" ref="E45:R45" ca="1" si="19">E44/D44-1</f>
        <v>0.48541405269761606</v>
      </c>
      <c r="F45" s="17">
        <f t="shared" ca="1" si="19"/>
        <v>5.5854714391299742E-2</v>
      </c>
      <c r="G45" s="17">
        <f t="shared" ca="1" si="19"/>
        <v>5.9500000000000108E-2</v>
      </c>
      <c r="H45" s="17">
        <f t="shared" ca="1" si="19"/>
        <v>5.9462010382255848E-2</v>
      </c>
      <c r="I45" s="17">
        <f t="shared" ca="1" si="19"/>
        <v>5.9420935412026754E-2</v>
      </c>
      <c r="J45" s="17">
        <f t="shared" ca="1" si="19"/>
        <v>5.9451732256979417E-2</v>
      </c>
      <c r="K45" s="17">
        <f t="shared" ca="1" si="19"/>
        <v>5.9449162631954877E-2</v>
      </c>
      <c r="L45" s="17">
        <f t="shared" ca="1" si="19"/>
        <v>5.9484566976325981E-2</v>
      </c>
      <c r="M45" s="17">
        <f t="shared" ca="1" si="19"/>
        <v>5.9468250601046435E-2</v>
      </c>
      <c r="N45" s="17">
        <f t="shared" ca="1" si="19"/>
        <v>5.9467396382566928E-2</v>
      </c>
      <c r="O45" s="17">
        <f t="shared" ca="1" si="19"/>
        <v>5.9468312964596093E-2</v>
      </c>
      <c r="P45" s="17">
        <f t="shared" ca="1" si="19"/>
        <v>5.9460102271375881E-2</v>
      </c>
      <c r="Q45" s="17">
        <f t="shared" ca="1" si="19"/>
        <v>5.9434279941632084E-2</v>
      </c>
      <c r="R45" s="17">
        <f t="shared" ca="1" si="19"/>
        <v>5.9490385124755019E-2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1234</v>
      </c>
      <c r="D47" s="74">
        <f ca="1">VALUE(OFFSET(SourceData!$A$4,$B$40+D$2-2011,SourceData!$U$1+General!$B$1))</f>
        <v>1263.5840194995706</v>
      </c>
      <c r="E47" s="74">
        <f ca="1">VALUE(OFFSET(SourceData!$A$4,$B$40+E$2-2011,SourceData!$U$1+General!$B$1))</f>
        <v>1278.5569374169695</v>
      </c>
      <c r="F47" s="74">
        <f ca="1">VALUE(OFFSET(SourceData!$A$4,$B$40+F$2-2011,SourceData!$U$1+General!$B$1))</f>
        <v>1286.2197228473271</v>
      </c>
      <c r="G47" s="74">
        <f ca="1">VALUE(OFFSET(SourceData!$A$4,$B$40+G$2-2011,SourceData!$U$1+General!$B$1))</f>
        <v>1290.1186581551738</v>
      </c>
      <c r="H47" s="74">
        <f ca="1">VALUE(OFFSET(SourceData!$A$4,$B$40+H$2-2011,SourceData!$U$1+General!$B$1))</f>
        <v>1292.0966513520621</v>
      </c>
      <c r="I47" s="74">
        <f ca="1">VALUE(OFFSET(SourceData!$A$4,$B$40+I$2-2011,SourceData!$U$1+General!$B$1))</f>
        <v>1293.0986206427995</v>
      </c>
      <c r="J47" s="74">
        <f ca="1">VALUE(OFFSET(SourceData!$A$4,$B$40+J$2-2011,SourceData!$U$1+General!$B$1))</f>
        <v>1293.6057927156696</v>
      </c>
      <c r="K47" s="74">
        <f ca="1">VALUE(OFFSET(SourceData!$A$4,$B$40+K$2-2011,SourceData!$U$1+General!$B$1))</f>
        <v>1293.8624123651068</v>
      </c>
      <c r="L47" s="74">
        <f ca="1">VALUE(OFFSET(SourceData!$A$4,$B$40+L$2-2011,SourceData!$U$1+General!$B$1))</f>
        <v>1293.99223198254</v>
      </c>
      <c r="M47" s="74">
        <f ca="1">VALUE(OFFSET(SourceData!$A$4,$B$40+M$2-2011,SourceData!$U$1+General!$B$1))</f>
        <v>1294.0578991329132</v>
      </c>
      <c r="N47" s="74">
        <f ca="1">VALUE(OFFSET(SourceData!$A$4,$B$40+N$2-2011,SourceData!$U$1+General!$B$1))</f>
        <v>1294.0911141501506</v>
      </c>
      <c r="O47" s="74">
        <f ca="1">VALUE(OFFSET(SourceData!$A$4,$B$40+O$2-2011,SourceData!$U$1+General!$B$1))</f>
        <v>1294.1079141741445</v>
      </c>
      <c r="P47" s="74">
        <f ca="1">VALUE(OFFSET(SourceData!$A$4,$B$40+P$2-2011,SourceData!$U$1+General!$B$1))</f>
        <v>1294.116411451866</v>
      </c>
      <c r="Q47" s="74">
        <f ca="1">VALUE(OFFSET(SourceData!$A$4,$B$40+Q$2-2011,SourceData!$U$1+General!$B$1))</f>
        <v>1294.120709259146</v>
      </c>
      <c r="R47" s="74">
        <f ca="1">VALUE(OFFSET(SourceData!$A$4,$B$40+R$2-2011,SourceData!$U$1+General!$B$1))</f>
        <v>1294.1228830244484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78"/>
  <sheetViews>
    <sheetView topLeftCell="A148" workbookViewId="0">
      <selection activeCell="O164" sqref="O164:O178"/>
    </sheetView>
  </sheetViews>
  <sheetFormatPr defaultRowHeight="15" x14ac:dyDescent="0.25"/>
  <cols>
    <col min="2" max="2" width="13.28515625" bestFit="1" customWidth="1"/>
    <col min="3" max="3" width="12.140625" bestFit="1" customWidth="1"/>
    <col min="4" max="4" width="13.28515625" bestFit="1" customWidth="1"/>
    <col min="5" max="5" width="14.28515625" bestFit="1" customWidth="1"/>
    <col min="6" max="6" width="13.28515625" bestFit="1" customWidth="1"/>
    <col min="13" max="13" width="8.42578125" bestFit="1" customWidth="1"/>
    <col min="14" max="14" width="20.42578125" bestFit="1" customWidth="1"/>
  </cols>
  <sheetData>
    <row r="1" spans="1:22" ht="19.5" thickBot="1" x14ac:dyDescent="0.35">
      <c r="A1" s="126" t="s">
        <v>452</v>
      </c>
      <c r="B1" s="127"/>
      <c r="C1" s="127"/>
      <c r="D1" s="127"/>
      <c r="E1" s="128"/>
    </row>
    <row r="3" spans="1:22" x14ac:dyDescent="0.25">
      <c r="A3" s="68" t="s">
        <v>105</v>
      </c>
      <c r="B3" s="129" t="s">
        <v>141</v>
      </c>
      <c r="C3" s="129"/>
      <c r="D3" s="129" t="s">
        <v>108</v>
      </c>
      <c r="E3" s="129"/>
      <c r="F3" s="129" t="s">
        <v>107</v>
      </c>
      <c r="G3" s="129"/>
      <c r="I3" t="s">
        <v>161</v>
      </c>
      <c r="J3" t="s">
        <v>167</v>
      </c>
      <c r="K3" t="s">
        <v>163</v>
      </c>
      <c r="L3" t="s">
        <v>162</v>
      </c>
      <c r="M3" t="s">
        <v>105</v>
      </c>
    </row>
    <row r="4" spans="1:22" x14ac:dyDescent="0.25">
      <c r="A4" s="68" t="s">
        <v>105</v>
      </c>
      <c r="B4" s="69" t="s">
        <v>188</v>
      </c>
      <c r="C4" s="69" t="s">
        <v>189</v>
      </c>
      <c r="D4" s="69" t="s">
        <v>188</v>
      </c>
      <c r="E4" s="69" t="s">
        <v>189</v>
      </c>
      <c r="F4" s="69" t="s">
        <v>188</v>
      </c>
      <c r="G4" s="69" t="s">
        <v>189</v>
      </c>
      <c r="J4" t="s">
        <v>170</v>
      </c>
      <c r="K4" t="s">
        <v>191</v>
      </c>
      <c r="L4" t="s">
        <v>170</v>
      </c>
      <c r="M4" t="s">
        <v>191</v>
      </c>
      <c r="N4" t="s">
        <v>170</v>
      </c>
      <c r="O4" t="s">
        <v>191</v>
      </c>
      <c r="P4" t="s">
        <v>105</v>
      </c>
      <c r="Q4" t="s">
        <v>161</v>
      </c>
      <c r="R4" t="s">
        <v>173</v>
      </c>
      <c r="S4" t="s">
        <v>453</v>
      </c>
      <c r="T4" t="s">
        <v>454</v>
      </c>
      <c r="U4" t="s">
        <v>455</v>
      </c>
      <c r="V4" t="s">
        <v>105</v>
      </c>
    </row>
    <row r="5" spans="1:22" x14ac:dyDescent="0.25">
      <c r="A5" s="68" t="s">
        <v>105</v>
      </c>
      <c r="B5" s="69" t="s">
        <v>190</v>
      </c>
      <c r="C5" s="68" t="s">
        <v>105</v>
      </c>
      <c r="D5" s="69" t="s">
        <v>190</v>
      </c>
      <c r="E5" s="68" t="s">
        <v>105</v>
      </c>
      <c r="F5" s="69" t="s">
        <v>190</v>
      </c>
      <c r="G5" s="68" t="s">
        <v>105</v>
      </c>
      <c r="J5" t="s">
        <v>192</v>
      </c>
      <c r="L5" t="s">
        <v>192</v>
      </c>
      <c r="N5" t="s">
        <v>192</v>
      </c>
      <c r="P5" t="s">
        <v>105</v>
      </c>
      <c r="R5" t="s">
        <v>164</v>
      </c>
      <c r="S5" t="s">
        <v>164</v>
      </c>
      <c r="T5" t="s">
        <v>164</v>
      </c>
      <c r="U5" t="s">
        <v>456</v>
      </c>
      <c r="V5" t="s">
        <v>105</v>
      </c>
    </row>
    <row r="6" spans="1:22" x14ac:dyDescent="0.25">
      <c r="A6" s="68" t="s">
        <v>105</v>
      </c>
      <c r="B6" s="69" t="s">
        <v>109</v>
      </c>
      <c r="C6" s="69" t="s">
        <v>109</v>
      </c>
      <c r="D6" s="69" t="s">
        <v>109</v>
      </c>
      <c r="E6" s="69" t="s">
        <v>109</v>
      </c>
      <c r="F6" s="69" t="s">
        <v>109</v>
      </c>
      <c r="G6" s="69" t="s">
        <v>109</v>
      </c>
      <c r="J6" t="s">
        <v>165</v>
      </c>
      <c r="K6" t="s">
        <v>165</v>
      </c>
      <c r="L6" t="s">
        <v>165</v>
      </c>
      <c r="M6" t="s">
        <v>165</v>
      </c>
      <c r="N6" t="s">
        <v>165</v>
      </c>
      <c r="O6" t="s">
        <v>165</v>
      </c>
      <c r="P6" t="s">
        <v>105</v>
      </c>
      <c r="U6" t="s">
        <v>165</v>
      </c>
      <c r="V6" t="s">
        <v>105</v>
      </c>
    </row>
    <row r="7" spans="1:22" x14ac:dyDescent="0.25">
      <c r="A7" s="69" t="s">
        <v>110</v>
      </c>
      <c r="B7" s="69">
        <v>9793</v>
      </c>
      <c r="C7" s="69">
        <v>1314</v>
      </c>
      <c r="D7" s="69">
        <v>10338</v>
      </c>
      <c r="E7" s="69">
        <v>1314</v>
      </c>
      <c r="F7" s="69">
        <v>9239</v>
      </c>
      <c r="G7" s="69">
        <v>657</v>
      </c>
      <c r="I7" s="86">
        <v>2011</v>
      </c>
      <c r="J7">
        <v>1479</v>
      </c>
      <c r="K7">
        <v>150</v>
      </c>
      <c r="L7">
        <v>1562</v>
      </c>
      <c r="M7">
        <v>150</v>
      </c>
      <c r="N7">
        <v>1395</v>
      </c>
      <c r="O7">
        <v>75</v>
      </c>
      <c r="P7" t="s">
        <v>105</v>
      </c>
      <c r="Q7" s="86">
        <v>1992</v>
      </c>
      <c r="R7" s="82">
        <v>6602</v>
      </c>
      <c r="S7" s="82">
        <v>1</v>
      </c>
      <c r="T7" s="82">
        <v>894</v>
      </c>
      <c r="U7" s="82">
        <v>912</v>
      </c>
      <c r="V7" t="s">
        <v>105</v>
      </c>
    </row>
    <row r="8" spans="1:22" x14ac:dyDescent="0.25">
      <c r="A8" s="69" t="s">
        <v>111</v>
      </c>
      <c r="B8" s="69">
        <v>10421</v>
      </c>
      <c r="C8" s="69">
        <v>1314</v>
      </c>
      <c r="D8" s="69">
        <v>11202</v>
      </c>
      <c r="E8" s="69">
        <v>1314</v>
      </c>
      <c r="F8" s="69">
        <v>9652</v>
      </c>
      <c r="G8" s="69">
        <v>657</v>
      </c>
      <c r="I8" s="86">
        <v>2012</v>
      </c>
      <c r="J8">
        <v>1573</v>
      </c>
      <c r="K8">
        <v>150</v>
      </c>
      <c r="L8">
        <v>1692</v>
      </c>
      <c r="M8">
        <v>150</v>
      </c>
      <c r="N8">
        <v>1457</v>
      </c>
      <c r="O8">
        <v>75</v>
      </c>
      <c r="P8" t="s">
        <v>105</v>
      </c>
      <c r="Q8" s="86">
        <v>1993</v>
      </c>
      <c r="R8" s="82">
        <v>6313</v>
      </c>
      <c r="S8" s="82">
        <v>32</v>
      </c>
      <c r="T8" s="82">
        <v>395</v>
      </c>
      <c r="U8" s="82">
        <v>880</v>
      </c>
      <c r="V8" t="s">
        <v>105</v>
      </c>
    </row>
    <row r="9" spans="1:22" x14ac:dyDescent="0.25">
      <c r="A9" s="69" t="s">
        <v>112</v>
      </c>
      <c r="B9" s="69">
        <v>11093</v>
      </c>
      <c r="C9" s="69">
        <v>1971</v>
      </c>
      <c r="D9" s="69">
        <v>12161</v>
      </c>
      <c r="E9" s="69">
        <v>2628</v>
      </c>
      <c r="F9" s="69">
        <v>10096</v>
      </c>
      <c r="G9" s="69">
        <v>1314</v>
      </c>
      <c r="I9" s="86">
        <v>2013</v>
      </c>
      <c r="J9">
        <v>1675</v>
      </c>
      <c r="K9">
        <v>225</v>
      </c>
      <c r="L9">
        <v>1836</v>
      </c>
      <c r="M9">
        <v>300</v>
      </c>
      <c r="N9">
        <v>1524</v>
      </c>
      <c r="O9">
        <v>150</v>
      </c>
      <c r="P9" t="s">
        <v>105</v>
      </c>
      <c r="Q9" s="86">
        <v>1994</v>
      </c>
      <c r="R9" s="82">
        <v>6104</v>
      </c>
      <c r="S9" s="82">
        <v>61</v>
      </c>
      <c r="T9" s="82">
        <v>418</v>
      </c>
      <c r="U9" s="82">
        <v>924</v>
      </c>
      <c r="V9" t="s">
        <v>105</v>
      </c>
    </row>
    <row r="10" spans="1:22" x14ac:dyDescent="0.25">
      <c r="A10" s="69" t="s">
        <v>113</v>
      </c>
      <c r="B10" s="69">
        <v>11764</v>
      </c>
      <c r="C10" s="69">
        <v>1971</v>
      </c>
      <c r="D10" s="69">
        <v>13119</v>
      </c>
      <c r="E10" s="69">
        <v>2628</v>
      </c>
      <c r="F10" s="69">
        <v>10522</v>
      </c>
      <c r="G10" s="69">
        <v>1314</v>
      </c>
      <c r="I10" s="86">
        <v>2014</v>
      </c>
      <c r="J10">
        <v>1780</v>
      </c>
      <c r="K10">
        <v>225</v>
      </c>
      <c r="L10">
        <v>1987</v>
      </c>
      <c r="M10">
        <v>300</v>
      </c>
      <c r="N10">
        <v>1590</v>
      </c>
      <c r="O10">
        <v>150</v>
      </c>
      <c r="P10" t="s">
        <v>105</v>
      </c>
      <c r="Q10" s="86">
        <v>1995</v>
      </c>
      <c r="R10" s="82">
        <v>6133</v>
      </c>
      <c r="S10" s="82">
        <v>320</v>
      </c>
      <c r="T10" s="82">
        <v>285</v>
      </c>
      <c r="U10" s="82">
        <v>985</v>
      </c>
      <c r="V10" t="s">
        <v>105</v>
      </c>
    </row>
    <row r="11" spans="1:22" x14ac:dyDescent="0.25">
      <c r="A11" s="69" t="s">
        <v>114</v>
      </c>
      <c r="B11" s="69">
        <v>12484</v>
      </c>
      <c r="C11" s="69">
        <v>1971</v>
      </c>
      <c r="D11" s="69">
        <v>14167</v>
      </c>
      <c r="E11" s="69">
        <v>2628</v>
      </c>
      <c r="F11" s="69">
        <v>10971</v>
      </c>
      <c r="G11" s="69">
        <v>1314</v>
      </c>
      <c r="I11" s="86">
        <v>2015</v>
      </c>
      <c r="J11">
        <v>1888</v>
      </c>
      <c r="K11">
        <v>225</v>
      </c>
      <c r="L11">
        <v>2145</v>
      </c>
      <c r="M11">
        <v>300</v>
      </c>
      <c r="N11">
        <v>1657</v>
      </c>
      <c r="O11">
        <v>150</v>
      </c>
      <c r="P11" t="s">
        <v>105</v>
      </c>
      <c r="Q11" s="86">
        <v>1996</v>
      </c>
      <c r="R11" s="82">
        <v>6626</v>
      </c>
      <c r="S11" s="82">
        <v>228</v>
      </c>
      <c r="T11" s="82">
        <v>348</v>
      </c>
      <c r="U11" s="82">
        <v>944</v>
      </c>
      <c r="V11" t="s">
        <v>105</v>
      </c>
    </row>
    <row r="12" spans="1:22" x14ac:dyDescent="0.25">
      <c r="A12" s="69" t="s">
        <v>115</v>
      </c>
      <c r="B12" s="69">
        <v>13252</v>
      </c>
      <c r="C12" s="69">
        <v>1971</v>
      </c>
      <c r="D12" s="69">
        <v>15304</v>
      </c>
      <c r="E12" s="69">
        <v>2628</v>
      </c>
      <c r="F12" s="69">
        <v>11440</v>
      </c>
      <c r="G12" s="69">
        <v>1314</v>
      </c>
      <c r="I12" s="86">
        <v>2016</v>
      </c>
      <c r="J12">
        <v>2007</v>
      </c>
      <c r="K12">
        <v>225</v>
      </c>
      <c r="L12">
        <v>2321</v>
      </c>
      <c r="M12">
        <v>300</v>
      </c>
      <c r="N12">
        <v>1730</v>
      </c>
      <c r="O12">
        <v>150</v>
      </c>
      <c r="P12" t="s">
        <v>105</v>
      </c>
      <c r="Q12" s="86">
        <v>1997</v>
      </c>
      <c r="R12" s="82">
        <v>6885</v>
      </c>
      <c r="S12" s="82">
        <v>660</v>
      </c>
      <c r="T12" s="82">
        <v>422</v>
      </c>
      <c r="U12" s="82">
        <v>1030</v>
      </c>
      <c r="V12" t="s">
        <v>105</v>
      </c>
    </row>
    <row r="13" spans="1:22" x14ac:dyDescent="0.25">
      <c r="A13" s="69" t="s">
        <v>116</v>
      </c>
      <c r="B13" s="69">
        <v>14070</v>
      </c>
      <c r="C13" s="69">
        <v>1971</v>
      </c>
      <c r="D13" s="69">
        <v>16536</v>
      </c>
      <c r="E13" s="69">
        <v>2628</v>
      </c>
      <c r="F13" s="69">
        <v>11932</v>
      </c>
      <c r="G13" s="69">
        <v>1314</v>
      </c>
      <c r="I13" s="86">
        <v>2017</v>
      </c>
      <c r="J13">
        <v>2130</v>
      </c>
      <c r="K13">
        <v>225</v>
      </c>
      <c r="L13">
        <v>2507</v>
      </c>
      <c r="M13">
        <v>300</v>
      </c>
      <c r="N13">
        <v>1804</v>
      </c>
      <c r="O13">
        <v>150</v>
      </c>
      <c r="P13" t="s">
        <v>105</v>
      </c>
      <c r="Q13" s="86">
        <v>1998</v>
      </c>
      <c r="R13" s="82">
        <v>4995</v>
      </c>
      <c r="S13" s="82">
        <v>573</v>
      </c>
      <c r="T13" s="82">
        <v>459</v>
      </c>
      <c r="U13" s="82">
        <v>1035</v>
      </c>
      <c r="V13" t="s">
        <v>105</v>
      </c>
    </row>
    <row r="14" spans="1:22" x14ac:dyDescent="0.25">
      <c r="A14" s="69" t="s">
        <v>117</v>
      </c>
      <c r="B14" s="69">
        <v>14941</v>
      </c>
      <c r="C14" s="69">
        <v>1971</v>
      </c>
      <c r="D14" s="69">
        <v>17872</v>
      </c>
      <c r="E14" s="69">
        <v>2628</v>
      </c>
      <c r="F14" s="69">
        <v>12446</v>
      </c>
      <c r="G14" s="69">
        <v>1314</v>
      </c>
      <c r="I14" s="86">
        <v>2018</v>
      </c>
      <c r="J14">
        <v>2262</v>
      </c>
      <c r="K14">
        <v>225</v>
      </c>
      <c r="L14">
        <v>2708</v>
      </c>
      <c r="M14">
        <v>300</v>
      </c>
      <c r="N14">
        <v>1881</v>
      </c>
      <c r="O14">
        <v>150</v>
      </c>
      <c r="P14" t="s">
        <v>105</v>
      </c>
      <c r="Q14" s="86">
        <v>1999</v>
      </c>
      <c r="R14" s="82">
        <v>5899</v>
      </c>
      <c r="S14" s="82">
        <v>1032</v>
      </c>
      <c r="T14" s="82">
        <v>326</v>
      </c>
      <c r="U14" s="82">
        <v>1061</v>
      </c>
      <c r="V14" t="s">
        <v>105</v>
      </c>
    </row>
    <row r="15" spans="1:22" x14ac:dyDescent="0.25">
      <c r="A15" s="69" t="s">
        <v>118</v>
      </c>
      <c r="B15" s="69">
        <v>15869</v>
      </c>
      <c r="C15" s="69">
        <v>1971</v>
      </c>
      <c r="D15" s="69">
        <v>19319</v>
      </c>
      <c r="E15" s="69">
        <v>2628</v>
      </c>
      <c r="F15" s="69">
        <v>12984</v>
      </c>
      <c r="G15" s="69">
        <v>1314</v>
      </c>
      <c r="I15" s="86">
        <v>2019</v>
      </c>
      <c r="J15">
        <v>2401</v>
      </c>
      <c r="K15">
        <v>225</v>
      </c>
      <c r="L15">
        <v>2926</v>
      </c>
      <c r="M15">
        <v>300</v>
      </c>
      <c r="N15">
        <v>1962</v>
      </c>
      <c r="O15">
        <v>150</v>
      </c>
      <c r="P15" t="s">
        <v>105</v>
      </c>
      <c r="Q15" s="86">
        <v>2000</v>
      </c>
      <c r="R15" s="82">
        <v>7203</v>
      </c>
      <c r="S15" s="82">
        <v>864</v>
      </c>
      <c r="T15" s="82">
        <v>392</v>
      </c>
      <c r="U15" s="82">
        <v>1161</v>
      </c>
      <c r="V15" t="s">
        <v>105</v>
      </c>
    </row>
    <row r="16" spans="1:22" x14ac:dyDescent="0.25">
      <c r="A16" s="69" t="s">
        <v>119</v>
      </c>
      <c r="B16" s="69">
        <v>16857</v>
      </c>
      <c r="C16" s="69">
        <v>1971</v>
      </c>
      <c r="D16" s="69">
        <v>20886</v>
      </c>
      <c r="E16" s="69">
        <v>2628</v>
      </c>
      <c r="F16" s="69">
        <v>13547</v>
      </c>
      <c r="G16" s="69">
        <v>1314</v>
      </c>
      <c r="I16" s="86">
        <v>2020</v>
      </c>
      <c r="J16">
        <v>2550</v>
      </c>
      <c r="K16">
        <v>225</v>
      </c>
      <c r="L16">
        <v>3162</v>
      </c>
      <c r="M16">
        <v>300</v>
      </c>
      <c r="N16">
        <v>2047</v>
      </c>
      <c r="O16">
        <v>150</v>
      </c>
      <c r="P16" t="s">
        <v>105</v>
      </c>
      <c r="Q16" s="86">
        <v>2001</v>
      </c>
      <c r="R16" s="82">
        <v>7831</v>
      </c>
      <c r="S16" s="82">
        <v>462</v>
      </c>
      <c r="T16" s="82">
        <v>302</v>
      </c>
      <c r="U16" s="82">
        <v>1190</v>
      </c>
      <c r="V16" t="s">
        <v>105</v>
      </c>
    </row>
    <row r="17" spans="1:22" x14ac:dyDescent="0.25">
      <c r="A17" s="69" t="s">
        <v>120</v>
      </c>
      <c r="B17" s="69">
        <v>17908</v>
      </c>
      <c r="C17" s="69">
        <v>1971</v>
      </c>
      <c r="D17" s="69">
        <v>22584</v>
      </c>
      <c r="E17" s="69">
        <v>2628</v>
      </c>
      <c r="F17" s="69">
        <v>14135</v>
      </c>
      <c r="G17" s="69">
        <v>1314</v>
      </c>
      <c r="I17" s="86">
        <v>2021</v>
      </c>
      <c r="J17">
        <v>2708</v>
      </c>
      <c r="K17">
        <v>225</v>
      </c>
      <c r="L17">
        <v>3417</v>
      </c>
      <c r="M17">
        <v>300</v>
      </c>
      <c r="N17">
        <v>2136</v>
      </c>
      <c r="O17">
        <v>150</v>
      </c>
      <c r="P17" t="s">
        <v>105</v>
      </c>
      <c r="Q17" s="86">
        <v>2002</v>
      </c>
      <c r="R17" s="82">
        <v>7256</v>
      </c>
      <c r="S17" s="82">
        <v>1146</v>
      </c>
      <c r="T17" s="82">
        <v>611</v>
      </c>
      <c r="U17" s="82">
        <v>1227</v>
      </c>
      <c r="V17" t="s">
        <v>105</v>
      </c>
    </row>
    <row r="18" spans="1:22" x14ac:dyDescent="0.25">
      <c r="A18" s="69" t="s">
        <v>121</v>
      </c>
      <c r="B18" s="69">
        <v>19027</v>
      </c>
      <c r="C18" s="69">
        <v>1971</v>
      </c>
      <c r="D18" s="69">
        <v>24422</v>
      </c>
      <c r="E18" s="69">
        <v>2628</v>
      </c>
      <c r="F18" s="69">
        <v>14750</v>
      </c>
      <c r="G18" s="69">
        <v>1314</v>
      </c>
      <c r="I18" s="86">
        <v>2022</v>
      </c>
      <c r="J18">
        <v>2877</v>
      </c>
      <c r="K18">
        <v>225</v>
      </c>
      <c r="L18">
        <v>3694</v>
      </c>
      <c r="M18">
        <v>300</v>
      </c>
      <c r="N18">
        <v>2228</v>
      </c>
      <c r="O18">
        <v>150</v>
      </c>
      <c r="P18" t="s">
        <v>105</v>
      </c>
      <c r="Q18" s="86">
        <v>2003</v>
      </c>
      <c r="R18" s="82">
        <v>5860</v>
      </c>
      <c r="S18" s="82">
        <v>940</v>
      </c>
      <c r="T18" s="82">
        <v>620</v>
      </c>
      <c r="U18" s="82">
        <v>1135</v>
      </c>
      <c r="V18" t="s">
        <v>105</v>
      </c>
    </row>
    <row r="19" spans="1:22" x14ac:dyDescent="0.25">
      <c r="A19" s="69" t="s">
        <v>122</v>
      </c>
      <c r="B19" s="69">
        <v>20218</v>
      </c>
      <c r="C19" s="69">
        <v>1971</v>
      </c>
      <c r="D19" s="69">
        <v>26410</v>
      </c>
      <c r="E19" s="69">
        <v>2628</v>
      </c>
      <c r="F19" s="69">
        <v>15393</v>
      </c>
      <c r="G19" s="69">
        <v>1314</v>
      </c>
      <c r="I19" s="86">
        <v>2023</v>
      </c>
      <c r="J19">
        <v>3056</v>
      </c>
      <c r="K19">
        <v>225</v>
      </c>
      <c r="L19">
        <v>3994</v>
      </c>
      <c r="M19">
        <v>300</v>
      </c>
      <c r="N19">
        <v>2325</v>
      </c>
      <c r="O19">
        <v>150</v>
      </c>
      <c r="P19" t="s">
        <v>105</v>
      </c>
      <c r="Q19" s="86">
        <v>2004</v>
      </c>
      <c r="R19" s="82">
        <v>6013</v>
      </c>
      <c r="S19" s="82">
        <v>878</v>
      </c>
      <c r="T19" s="82">
        <v>664</v>
      </c>
      <c r="U19" s="82">
        <v>1049</v>
      </c>
      <c r="V19" t="s">
        <v>105</v>
      </c>
    </row>
    <row r="20" spans="1:22" x14ac:dyDescent="0.25">
      <c r="A20" s="69" t="s">
        <v>123</v>
      </c>
      <c r="B20" s="69">
        <v>21485</v>
      </c>
      <c r="C20" s="69">
        <v>1971</v>
      </c>
      <c r="D20" s="69">
        <v>28562</v>
      </c>
      <c r="E20" s="69">
        <v>2628</v>
      </c>
      <c r="F20" s="69">
        <v>16065</v>
      </c>
      <c r="G20" s="69">
        <v>1314</v>
      </c>
      <c r="I20" s="86">
        <v>2024</v>
      </c>
      <c r="J20">
        <v>3247</v>
      </c>
      <c r="K20">
        <v>225</v>
      </c>
      <c r="L20">
        <v>4318</v>
      </c>
      <c r="M20">
        <v>300</v>
      </c>
      <c r="N20">
        <v>2426</v>
      </c>
      <c r="O20">
        <v>150</v>
      </c>
      <c r="P20" t="s">
        <v>105</v>
      </c>
      <c r="Q20" s="86">
        <v>2005</v>
      </c>
      <c r="R20" s="82">
        <v>6750</v>
      </c>
      <c r="S20" s="82">
        <v>815</v>
      </c>
      <c r="T20" s="82">
        <v>635</v>
      </c>
      <c r="U20" s="82">
        <v>1232</v>
      </c>
      <c r="V20" t="s">
        <v>105</v>
      </c>
    </row>
    <row r="21" spans="1:22" x14ac:dyDescent="0.25">
      <c r="A21" s="69" t="s">
        <v>124</v>
      </c>
      <c r="B21" s="69">
        <v>22832</v>
      </c>
      <c r="C21" s="69">
        <v>1971</v>
      </c>
      <c r="D21" s="69">
        <v>30889</v>
      </c>
      <c r="E21" s="69">
        <v>2628</v>
      </c>
      <c r="F21" s="69">
        <v>16768</v>
      </c>
      <c r="G21" s="69">
        <v>1314</v>
      </c>
      <c r="I21" s="86">
        <v>2025</v>
      </c>
      <c r="J21">
        <v>3450</v>
      </c>
      <c r="K21">
        <v>225</v>
      </c>
      <c r="L21">
        <v>4668</v>
      </c>
      <c r="M21">
        <v>300</v>
      </c>
      <c r="N21">
        <v>2532</v>
      </c>
      <c r="O21">
        <v>150</v>
      </c>
      <c r="P21" t="s">
        <v>105</v>
      </c>
      <c r="Q21" s="86">
        <v>2006</v>
      </c>
      <c r="R21" s="82">
        <v>8384</v>
      </c>
      <c r="S21" s="82">
        <v>629</v>
      </c>
      <c r="T21" s="82">
        <v>751</v>
      </c>
      <c r="U21" s="82">
        <v>1393</v>
      </c>
      <c r="V21" t="s">
        <v>105</v>
      </c>
    </row>
    <row r="22" spans="1:22" x14ac:dyDescent="0.25">
      <c r="A22" s="69"/>
      <c r="B22" s="69"/>
      <c r="C22" s="69"/>
      <c r="D22" s="69"/>
      <c r="E22" s="69"/>
      <c r="F22" s="69"/>
      <c r="G22" s="69"/>
      <c r="Q22" s="86">
        <v>2007</v>
      </c>
      <c r="R22" s="82">
        <v>6662</v>
      </c>
      <c r="S22" s="82">
        <v>435</v>
      </c>
      <c r="T22" s="82">
        <v>244</v>
      </c>
      <c r="U22" s="82">
        <v>1274</v>
      </c>
      <c r="V22" t="s">
        <v>105</v>
      </c>
    </row>
    <row r="23" spans="1:22" x14ac:dyDescent="0.25">
      <c r="A23" s="69"/>
      <c r="B23" s="69"/>
      <c r="C23" s="69"/>
      <c r="D23" s="69"/>
      <c r="E23" s="69"/>
      <c r="F23" s="69"/>
      <c r="G23" s="69"/>
      <c r="Q23" s="86">
        <v>2008</v>
      </c>
      <c r="R23" s="82">
        <v>8148</v>
      </c>
      <c r="S23" s="82">
        <v>275</v>
      </c>
      <c r="T23" s="82">
        <v>539</v>
      </c>
      <c r="U23" s="82">
        <v>1366</v>
      </c>
      <c r="V23" t="s">
        <v>105</v>
      </c>
    </row>
    <row r="24" spans="1:22" x14ac:dyDescent="0.25">
      <c r="A24" s="69"/>
      <c r="B24" s="69"/>
      <c r="C24" s="69"/>
      <c r="D24" s="69"/>
      <c r="E24" s="69"/>
      <c r="F24" s="69"/>
      <c r="G24" s="69"/>
      <c r="Q24" s="86">
        <v>2009</v>
      </c>
      <c r="R24" s="82">
        <v>8937</v>
      </c>
      <c r="S24" s="82">
        <v>194</v>
      </c>
      <c r="T24" s="82">
        <v>762</v>
      </c>
      <c r="U24" s="82">
        <v>1423</v>
      </c>
      <c r="V24" t="s">
        <v>105</v>
      </c>
    </row>
    <row r="25" spans="1:22" x14ac:dyDescent="0.25">
      <c r="A25" s="69"/>
      <c r="B25" s="69"/>
      <c r="C25" s="69"/>
      <c r="D25" s="69"/>
      <c r="E25" s="69"/>
      <c r="F25" s="69"/>
      <c r="G25" s="69"/>
      <c r="Q25" s="86">
        <v>2010</v>
      </c>
      <c r="R25" s="82">
        <v>10125</v>
      </c>
      <c r="S25" s="82">
        <v>106</v>
      </c>
      <c r="T25" s="82">
        <v>985</v>
      </c>
      <c r="U25" s="82">
        <v>1506</v>
      </c>
      <c r="V25" t="s">
        <v>105</v>
      </c>
    </row>
    <row r="26" spans="1:22" ht="27.75" x14ac:dyDescent="0.25">
      <c r="B26" s="76" t="s">
        <v>150</v>
      </c>
      <c r="C26" s="76" t="s">
        <v>151</v>
      </c>
      <c r="D26" s="76" t="s">
        <v>152</v>
      </c>
      <c r="I26" s="76" t="s">
        <v>150</v>
      </c>
      <c r="J26" s="76" t="s">
        <v>151</v>
      </c>
      <c r="K26" s="76" t="s">
        <v>152</v>
      </c>
    </row>
    <row r="27" spans="1:22" x14ac:dyDescent="0.25">
      <c r="B27" s="69" t="s">
        <v>109</v>
      </c>
      <c r="C27" s="69" t="s">
        <v>109</v>
      </c>
      <c r="D27" s="69" t="s">
        <v>109</v>
      </c>
      <c r="I27" s="69" t="s">
        <v>125</v>
      </c>
      <c r="J27" s="69" t="s">
        <v>125</v>
      </c>
      <c r="K27" s="69" t="s">
        <v>125</v>
      </c>
      <c r="N27" s="69" t="s">
        <v>458</v>
      </c>
      <c r="Q27">
        <v>2000</v>
      </c>
      <c r="R27" s="81">
        <f>(T15-T14)/T14</f>
        <v>0.20245398773006135</v>
      </c>
      <c r="S27" t="s">
        <v>459</v>
      </c>
      <c r="T27">
        <f>T25*(1+R38)</f>
        <v>1205.3747387465301</v>
      </c>
      <c r="U27" s="82">
        <v>2011</v>
      </c>
    </row>
    <row r="28" spans="1:22" x14ac:dyDescent="0.25">
      <c r="A28" s="69" t="s">
        <v>110</v>
      </c>
      <c r="B28">
        <f>B7+C7</f>
        <v>11107</v>
      </c>
      <c r="C28">
        <f>D7+E7</f>
        <v>11652</v>
      </c>
      <c r="D28">
        <f>F7+G7</f>
        <v>9896</v>
      </c>
      <c r="H28" s="69" t="s">
        <v>110</v>
      </c>
      <c r="I28">
        <f>J7+K7</f>
        <v>1629</v>
      </c>
      <c r="J28">
        <f>L7+M7</f>
        <v>1712</v>
      </c>
      <c r="K28">
        <f>N7+O7</f>
        <v>1470</v>
      </c>
      <c r="Q28">
        <v>2001</v>
      </c>
      <c r="R28" s="81">
        <f t="shared" ref="R28:R37" si="0">(T16-T15)/T15</f>
        <v>-0.22959183673469388</v>
      </c>
      <c r="T28">
        <f>T27*(1+$R$38)</f>
        <v>1475.0540718865641</v>
      </c>
      <c r="U28" s="82">
        <v>2012</v>
      </c>
    </row>
    <row r="29" spans="1:22" x14ac:dyDescent="0.25">
      <c r="A29" s="69" t="s">
        <v>111</v>
      </c>
      <c r="B29">
        <f t="shared" ref="B29:B42" si="1">B8+C8</f>
        <v>11735</v>
      </c>
      <c r="C29">
        <f t="shared" ref="C29:C42" si="2">D8+E8</f>
        <v>12516</v>
      </c>
      <c r="D29">
        <f t="shared" ref="D29:D42" si="3">F8+G8</f>
        <v>10309</v>
      </c>
      <c r="H29" s="69" t="s">
        <v>111</v>
      </c>
      <c r="I29">
        <f t="shared" ref="I29:I42" si="4">J8+K8</f>
        <v>1723</v>
      </c>
      <c r="J29">
        <f t="shared" ref="J29:J42" si="5">L8+M8</f>
        <v>1842</v>
      </c>
      <c r="K29">
        <f t="shared" ref="K29:K42" si="6">N8+O8</f>
        <v>1532</v>
      </c>
      <c r="Q29">
        <v>2002</v>
      </c>
      <c r="R29" s="81">
        <f t="shared" si="0"/>
        <v>1.0231788079470199</v>
      </c>
      <c r="T29">
        <f t="shared" ref="T29:T41" si="7">T28*(1+$R$38)</f>
        <v>1805.0689507992613</v>
      </c>
      <c r="U29" s="82">
        <v>2013</v>
      </c>
      <c r="V29" t="s">
        <v>461</v>
      </c>
    </row>
    <row r="30" spans="1:22" x14ac:dyDescent="0.25">
      <c r="A30" s="69" t="s">
        <v>112</v>
      </c>
      <c r="B30">
        <f t="shared" si="1"/>
        <v>13064</v>
      </c>
      <c r="C30">
        <f t="shared" si="2"/>
        <v>14789</v>
      </c>
      <c r="D30">
        <f t="shared" si="3"/>
        <v>11410</v>
      </c>
      <c r="H30" s="69" t="s">
        <v>112</v>
      </c>
      <c r="I30">
        <f t="shared" si="4"/>
        <v>1900</v>
      </c>
      <c r="J30">
        <f t="shared" si="5"/>
        <v>2136</v>
      </c>
      <c r="K30">
        <f t="shared" si="6"/>
        <v>1674</v>
      </c>
      <c r="Q30">
        <v>2003</v>
      </c>
      <c r="R30" s="81">
        <f t="shared" si="0"/>
        <v>1.4729950900163666E-2</v>
      </c>
      <c r="T30">
        <f t="shared" si="7"/>
        <v>2208.9182893290686</v>
      </c>
      <c r="U30" s="82">
        <v>2014</v>
      </c>
      <c r="V30">
        <f>$T$29</f>
        <v>1805.0689507992613</v>
      </c>
    </row>
    <row r="31" spans="1:22" x14ac:dyDescent="0.25">
      <c r="A31" s="69" t="s">
        <v>113</v>
      </c>
      <c r="B31">
        <f t="shared" si="1"/>
        <v>13735</v>
      </c>
      <c r="C31">
        <f t="shared" si="2"/>
        <v>15747</v>
      </c>
      <c r="D31">
        <f t="shared" si="3"/>
        <v>11836</v>
      </c>
      <c r="H31" s="69" t="s">
        <v>113</v>
      </c>
      <c r="I31">
        <f t="shared" si="4"/>
        <v>2005</v>
      </c>
      <c r="J31">
        <f t="shared" si="5"/>
        <v>2287</v>
      </c>
      <c r="K31">
        <f t="shared" si="6"/>
        <v>1740</v>
      </c>
      <c r="Q31">
        <v>2004</v>
      </c>
      <c r="R31" s="81">
        <f t="shared" si="0"/>
        <v>7.0967741935483872E-2</v>
      </c>
      <c r="T31">
        <f t="shared" si="7"/>
        <v>2703.1211227537647</v>
      </c>
      <c r="U31" s="82">
        <v>2015</v>
      </c>
      <c r="V31">
        <f t="shared" ref="V31:V41" si="8">$T$29</f>
        <v>1805.0689507992613</v>
      </c>
    </row>
    <row r="32" spans="1:22" x14ac:dyDescent="0.25">
      <c r="A32" s="69" t="s">
        <v>114</v>
      </c>
      <c r="B32">
        <f t="shared" si="1"/>
        <v>14455</v>
      </c>
      <c r="C32">
        <f t="shared" si="2"/>
        <v>16795</v>
      </c>
      <c r="D32">
        <f t="shared" si="3"/>
        <v>12285</v>
      </c>
      <c r="H32" s="69" t="s">
        <v>114</v>
      </c>
      <c r="I32">
        <f t="shared" si="4"/>
        <v>2113</v>
      </c>
      <c r="J32">
        <f t="shared" si="5"/>
        <v>2445</v>
      </c>
      <c r="K32">
        <f t="shared" si="6"/>
        <v>1807</v>
      </c>
      <c r="Q32">
        <v>2005</v>
      </c>
      <c r="R32" s="81">
        <f t="shared" si="0"/>
        <v>-4.3674698795180725E-2</v>
      </c>
      <c r="T32">
        <f t="shared" si="7"/>
        <v>3307.8923016645135</v>
      </c>
      <c r="U32" s="82">
        <v>2016</v>
      </c>
      <c r="V32">
        <f t="shared" si="8"/>
        <v>1805.0689507992613</v>
      </c>
    </row>
    <row r="33" spans="1:22" x14ac:dyDescent="0.25">
      <c r="A33" s="69" t="s">
        <v>115</v>
      </c>
      <c r="B33">
        <f t="shared" si="1"/>
        <v>15223</v>
      </c>
      <c r="C33">
        <f t="shared" si="2"/>
        <v>17932</v>
      </c>
      <c r="D33">
        <f t="shared" si="3"/>
        <v>12754</v>
      </c>
      <c r="H33" s="69" t="s">
        <v>115</v>
      </c>
      <c r="I33">
        <f t="shared" si="4"/>
        <v>2232</v>
      </c>
      <c r="J33">
        <f t="shared" si="5"/>
        <v>2621</v>
      </c>
      <c r="K33">
        <f t="shared" si="6"/>
        <v>1880</v>
      </c>
      <c r="Q33">
        <v>2006</v>
      </c>
      <c r="R33" s="81">
        <f t="shared" si="0"/>
        <v>0.18267716535433071</v>
      </c>
      <c r="T33">
        <f t="shared" si="7"/>
        <v>4047.9693593101733</v>
      </c>
      <c r="U33" s="82">
        <v>2017</v>
      </c>
      <c r="V33">
        <f t="shared" si="8"/>
        <v>1805.0689507992613</v>
      </c>
    </row>
    <row r="34" spans="1:22" x14ac:dyDescent="0.25">
      <c r="A34" s="69" t="s">
        <v>116</v>
      </c>
      <c r="B34">
        <f t="shared" si="1"/>
        <v>16041</v>
      </c>
      <c r="C34">
        <f t="shared" si="2"/>
        <v>19164</v>
      </c>
      <c r="D34">
        <f t="shared" si="3"/>
        <v>13246</v>
      </c>
      <c r="H34" s="69" t="s">
        <v>116</v>
      </c>
      <c r="I34">
        <f t="shared" si="4"/>
        <v>2355</v>
      </c>
      <c r="J34">
        <f t="shared" si="5"/>
        <v>2807</v>
      </c>
      <c r="K34">
        <f t="shared" si="6"/>
        <v>1954</v>
      </c>
      <c r="Q34">
        <v>2007</v>
      </c>
      <c r="R34" s="81">
        <f t="shared" si="0"/>
        <v>-0.67509986684420775</v>
      </c>
      <c r="T34">
        <f t="shared" si="7"/>
        <v>4953.624374550719</v>
      </c>
      <c r="U34" s="82">
        <v>2018</v>
      </c>
      <c r="V34">
        <f t="shared" si="8"/>
        <v>1805.0689507992613</v>
      </c>
    </row>
    <row r="35" spans="1:22" x14ac:dyDescent="0.25">
      <c r="A35" s="69" t="s">
        <v>117</v>
      </c>
      <c r="B35">
        <f t="shared" si="1"/>
        <v>16912</v>
      </c>
      <c r="C35">
        <f t="shared" si="2"/>
        <v>20500</v>
      </c>
      <c r="D35">
        <f t="shared" si="3"/>
        <v>13760</v>
      </c>
      <c r="H35" s="69" t="s">
        <v>117</v>
      </c>
      <c r="I35">
        <f t="shared" si="4"/>
        <v>2487</v>
      </c>
      <c r="J35">
        <f t="shared" si="5"/>
        <v>3008</v>
      </c>
      <c r="K35">
        <f t="shared" si="6"/>
        <v>2031</v>
      </c>
      <c r="Q35">
        <v>2008</v>
      </c>
      <c r="R35" s="81">
        <f t="shared" si="0"/>
        <v>1.209016393442623</v>
      </c>
      <c r="T35">
        <f t="shared" si="7"/>
        <v>6061.902219616768</v>
      </c>
      <c r="U35" s="82">
        <v>2019</v>
      </c>
      <c r="V35">
        <f t="shared" si="8"/>
        <v>1805.0689507992613</v>
      </c>
    </row>
    <row r="36" spans="1:22" x14ac:dyDescent="0.25">
      <c r="A36" s="69" t="s">
        <v>118</v>
      </c>
      <c r="B36">
        <f t="shared" si="1"/>
        <v>17840</v>
      </c>
      <c r="C36">
        <f t="shared" si="2"/>
        <v>21947</v>
      </c>
      <c r="D36">
        <f t="shared" si="3"/>
        <v>14298</v>
      </c>
      <c r="H36" s="69" t="s">
        <v>118</v>
      </c>
      <c r="I36">
        <f t="shared" si="4"/>
        <v>2626</v>
      </c>
      <c r="J36">
        <f t="shared" si="5"/>
        <v>3226</v>
      </c>
      <c r="K36">
        <f t="shared" si="6"/>
        <v>2112</v>
      </c>
      <c r="Q36" s="85">
        <v>2009</v>
      </c>
      <c r="R36" s="90">
        <f t="shared" si="0"/>
        <v>0.4137291280148423</v>
      </c>
      <c r="T36">
        <f t="shared" si="7"/>
        <v>7418.1358419061644</v>
      </c>
      <c r="U36" s="82">
        <v>2020</v>
      </c>
      <c r="V36">
        <f t="shared" si="8"/>
        <v>1805.0689507992613</v>
      </c>
    </row>
    <row r="37" spans="1:22" x14ac:dyDescent="0.25">
      <c r="A37" s="69" t="s">
        <v>119</v>
      </c>
      <c r="B37">
        <f t="shared" si="1"/>
        <v>18828</v>
      </c>
      <c r="C37">
        <f t="shared" si="2"/>
        <v>23514</v>
      </c>
      <c r="D37">
        <f t="shared" si="3"/>
        <v>14861</v>
      </c>
      <c r="H37" s="69" t="s">
        <v>119</v>
      </c>
      <c r="I37">
        <f t="shared" si="4"/>
        <v>2775</v>
      </c>
      <c r="J37">
        <f t="shared" si="5"/>
        <v>3462</v>
      </c>
      <c r="K37">
        <f t="shared" si="6"/>
        <v>2197</v>
      </c>
      <c r="Q37" s="85">
        <v>2010</v>
      </c>
      <c r="R37" s="90">
        <f t="shared" si="0"/>
        <v>0.29265091863517062</v>
      </c>
      <c r="T37">
        <f t="shared" si="7"/>
        <v>9077.8005608364601</v>
      </c>
      <c r="U37" s="82">
        <v>2021</v>
      </c>
      <c r="V37">
        <f t="shared" si="8"/>
        <v>1805.0689507992613</v>
      </c>
    </row>
    <row r="38" spans="1:22" x14ac:dyDescent="0.25">
      <c r="A38" s="69" t="s">
        <v>120</v>
      </c>
      <c r="B38">
        <f t="shared" si="1"/>
        <v>19879</v>
      </c>
      <c r="C38">
        <f t="shared" si="2"/>
        <v>25212</v>
      </c>
      <c r="D38">
        <f t="shared" si="3"/>
        <v>15449</v>
      </c>
      <c r="H38" s="69" t="s">
        <v>120</v>
      </c>
      <c r="I38">
        <f t="shared" si="4"/>
        <v>2933</v>
      </c>
      <c r="J38">
        <f t="shared" si="5"/>
        <v>3717</v>
      </c>
      <c r="K38">
        <f t="shared" si="6"/>
        <v>2286</v>
      </c>
      <c r="O38" t="s">
        <v>460</v>
      </c>
      <c r="R38" s="81">
        <f>(SUM(R27:R37))/11</f>
        <v>0.22373069923505573</v>
      </c>
      <c r="T38">
        <f t="shared" si="7"/>
        <v>11108.783227828784</v>
      </c>
      <c r="U38" s="82">
        <v>2022</v>
      </c>
      <c r="V38">
        <f t="shared" si="8"/>
        <v>1805.0689507992613</v>
      </c>
    </row>
    <row r="39" spans="1:22" x14ac:dyDescent="0.25">
      <c r="A39" s="69" t="s">
        <v>121</v>
      </c>
      <c r="B39">
        <f t="shared" si="1"/>
        <v>20998</v>
      </c>
      <c r="C39">
        <f t="shared" si="2"/>
        <v>27050</v>
      </c>
      <c r="D39">
        <f t="shared" si="3"/>
        <v>16064</v>
      </c>
      <c r="H39" s="69" t="s">
        <v>121</v>
      </c>
      <c r="I39">
        <f t="shared" si="4"/>
        <v>3102</v>
      </c>
      <c r="J39">
        <f t="shared" si="5"/>
        <v>3994</v>
      </c>
      <c r="K39">
        <f t="shared" si="6"/>
        <v>2378</v>
      </c>
      <c r="T39">
        <f t="shared" si="7"/>
        <v>13594.159067041579</v>
      </c>
      <c r="U39" s="82">
        <v>2023</v>
      </c>
      <c r="V39">
        <f t="shared" si="8"/>
        <v>1805.0689507992613</v>
      </c>
    </row>
    <row r="40" spans="1:22" x14ac:dyDescent="0.25">
      <c r="A40" s="69" t="s">
        <v>122</v>
      </c>
      <c r="B40">
        <f t="shared" si="1"/>
        <v>22189</v>
      </c>
      <c r="C40">
        <f t="shared" si="2"/>
        <v>29038</v>
      </c>
      <c r="D40">
        <f t="shared" si="3"/>
        <v>16707</v>
      </c>
      <c r="H40" s="69" t="s">
        <v>122</v>
      </c>
      <c r="I40">
        <f t="shared" si="4"/>
        <v>3281</v>
      </c>
      <c r="J40">
        <f t="shared" si="5"/>
        <v>4294</v>
      </c>
      <c r="K40">
        <f t="shared" si="6"/>
        <v>2475</v>
      </c>
      <c r="T40">
        <f t="shared" si="7"/>
        <v>16635.589780623366</v>
      </c>
      <c r="U40" s="82">
        <v>2024</v>
      </c>
      <c r="V40">
        <f t="shared" si="8"/>
        <v>1805.0689507992613</v>
      </c>
    </row>
    <row r="41" spans="1:22" x14ac:dyDescent="0.25">
      <c r="A41" s="69" t="s">
        <v>123</v>
      </c>
      <c r="B41">
        <f t="shared" si="1"/>
        <v>23456</v>
      </c>
      <c r="C41">
        <f t="shared" si="2"/>
        <v>31190</v>
      </c>
      <c r="D41">
        <f t="shared" si="3"/>
        <v>17379</v>
      </c>
      <c r="H41" s="69" t="s">
        <v>123</v>
      </c>
      <c r="I41">
        <f t="shared" si="4"/>
        <v>3472</v>
      </c>
      <c r="J41">
        <f t="shared" si="5"/>
        <v>4618</v>
      </c>
      <c r="K41">
        <f t="shared" si="6"/>
        <v>2576</v>
      </c>
      <c r="T41">
        <f t="shared" si="7"/>
        <v>20357.48191442978</v>
      </c>
      <c r="U41" s="82">
        <v>2025</v>
      </c>
      <c r="V41">
        <f t="shared" si="8"/>
        <v>1805.0689507992613</v>
      </c>
    </row>
    <row r="42" spans="1:22" x14ac:dyDescent="0.25">
      <c r="A42" s="69" t="s">
        <v>124</v>
      </c>
      <c r="B42">
        <f t="shared" si="1"/>
        <v>24803</v>
      </c>
      <c r="C42">
        <f t="shared" si="2"/>
        <v>33517</v>
      </c>
      <c r="D42">
        <f t="shared" si="3"/>
        <v>18082</v>
      </c>
      <c r="H42" s="69" t="s">
        <v>124</v>
      </c>
      <c r="I42">
        <f t="shared" si="4"/>
        <v>3675</v>
      </c>
      <c r="J42">
        <f t="shared" si="5"/>
        <v>4968</v>
      </c>
      <c r="K42">
        <f t="shared" si="6"/>
        <v>2682</v>
      </c>
    </row>
    <row r="44" spans="1:22" ht="15.75" thickBot="1" x14ac:dyDescent="0.3"/>
    <row r="45" spans="1:22" ht="19.5" thickBot="1" x14ac:dyDescent="0.35">
      <c r="A45" s="126" t="s">
        <v>198</v>
      </c>
      <c r="B45" s="127"/>
      <c r="C45" s="127"/>
      <c r="D45" s="128"/>
    </row>
    <row r="47" spans="1:22" x14ac:dyDescent="0.25">
      <c r="A47" s="68" t="s">
        <v>105</v>
      </c>
      <c r="B47" s="69" t="s">
        <v>199</v>
      </c>
      <c r="C47" s="69" t="s">
        <v>200</v>
      </c>
      <c r="D47" s="69" t="s">
        <v>201</v>
      </c>
      <c r="E47" s="69" t="s">
        <v>202</v>
      </c>
      <c r="F47" s="69" t="s">
        <v>203</v>
      </c>
    </row>
    <row r="48" spans="1:22" x14ac:dyDescent="0.25">
      <c r="A48" s="68" t="s">
        <v>105</v>
      </c>
      <c r="B48" s="69" t="s">
        <v>204</v>
      </c>
      <c r="C48" s="68" t="s">
        <v>105</v>
      </c>
      <c r="D48" s="68" t="s">
        <v>105</v>
      </c>
      <c r="E48" s="68" t="s">
        <v>105</v>
      </c>
      <c r="F48" s="69" t="s">
        <v>205</v>
      </c>
    </row>
    <row r="49" spans="1:6" x14ac:dyDescent="0.25">
      <c r="A49" s="68" t="s">
        <v>105</v>
      </c>
      <c r="B49" s="69" t="s">
        <v>109</v>
      </c>
      <c r="C49" s="69" t="s">
        <v>109</v>
      </c>
      <c r="D49" s="69" t="s">
        <v>109</v>
      </c>
      <c r="E49" s="69" t="s">
        <v>109</v>
      </c>
      <c r="F49" s="69" t="s">
        <v>109</v>
      </c>
    </row>
    <row r="50" spans="1:6" x14ac:dyDescent="0.25">
      <c r="A50" s="69" t="s">
        <v>206</v>
      </c>
      <c r="B50" s="68"/>
      <c r="C50" s="68"/>
      <c r="D50" s="69">
        <v>1388</v>
      </c>
      <c r="E50" s="69">
        <v>1309</v>
      </c>
      <c r="F50" s="68"/>
    </row>
    <row r="51" spans="1:6" x14ac:dyDescent="0.25">
      <c r="A51" s="69" t="s">
        <v>207</v>
      </c>
      <c r="B51" s="69">
        <v>339</v>
      </c>
      <c r="C51" s="69">
        <v>1009</v>
      </c>
      <c r="D51" s="69">
        <v>1348</v>
      </c>
      <c r="E51" s="69">
        <v>1294</v>
      </c>
      <c r="F51" s="69">
        <v>139</v>
      </c>
    </row>
    <row r="52" spans="1:6" x14ac:dyDescent="0.25">
      <c r="A52" s="69" t="s">
        <v>209</v>
      </c>
      <c r="B52" s="69">
        <v>175</v>
      </c>
      <c r="C52" s="69">
        <v>1319</v>
      </c>
      <c r="D52" s="69">
        <v>1494</v>
      </c>
      <c r="E52" s="69">
        <v>1418</v>
      </c>
      <c r="F52" s="69">
        <v>297</v>
      </c>
    </row>
    <row r="53" spans="1:6" x14ac:dyDescent="0.25">
      <c r="A53" s="69" t="s">
        <v>210</v>
      </c>
      <c r="B53" s="69">
        <v>229</v>
      </c>
      <c r="C53" s="69">
        <v>1567</v>
      </c>
      <c r="D53" s="69">
        <v>1798</v>
      </c>
      <c r="E53" s="68"/>
      <c r="F53" s="68"/>
    </row>
    <row r="56" spans="1:6" x14ac:dyDescent="0.25">
      <c r="A56" s="69" t="s">
        <v>212</v>
      </c>
      <c r="B56">
        <v>2007</v>
      </c>
      <c r="F56" s="81">
        <f>F51/D51</f>
        <v>0.10311572700296735</v>
      </c>
    </row>
    <row r="57" spans="1:6" x14ac:dyDescent="0.25">
      <c r="B57">
        <v>2008</v>
      </c>
      <c r="F57" s="81">
        <f>F52/D52</f>
        <v>0.19879518072289157</v>
      </c>
    </row>
    <row r="58" spans="1:6" x14ac:dyDescent="0.25">
      <c r="F58" s="81"/>
    </row>
    <row r="59" spans="1:6" x14ac:dyDescent="0.25">
      <c r="B59" t="s">
        <v>186</v>
      </c>
      <c r="F59" s="81">
        <f>(F56+F57)/2</f>
        <v>0.15095545386292947</v>
      </c>
    </row>
    <row r="60" spans="1:6" ht="15.75" thickBot="1" x14ac:dyDescent="0.3">
      <c r="F60" s="81"/>
    </row>
    <row r="61" spans="1:6" ht="19.5" thickBot="1" x14ac:dyDescent="0.35">
      <c r="A61" s="126" t="s">
        <v>213</v>
      </c>
      <c r="B61" s="127"/>
      <c r="C61" s="127"/>
      <c r="D61" s="128"/>
    </row>
    <row r="63" spans="1:6" x14ac:dyDescent="0.25">
      <c r="A63" s="68" t="s">
        <v>105</v>
      </c>
      <c r="B63" s="69" t="s">
        <v>199</v>
      </c>
      <c r="C63" s="69" t="s">
        <v>200</v>
      </c>
      <c r="D63" s="69" t="s">
        <v>201</v>
      </c>
      <c r="E63" s="69" t="s">
        <v>202</v>
      </c>
    </row>
    <row r="64" spans="1:6" x14ac:dyDescent="0.25">
      <c r="A64" s="68" t="s">
        <v>105</v>
      </c>
      <c r="B64" s="69" t="s">
        <v>204</v>
      </c>
      <c r="C64" s="68" t="s">
        <v>105</v>
      </c>
      <c r="D64" s="68" t="s">
        <v>105</v>
      </c>
      <c r="E64" s="68" t="s">
        <v>105</v>
      </c>
    </row>
    <row r="65" spans="1:16" x14ac:dyDescent="0.25">
      <c r="A65" s="68" t="s">
        <v>105</v>
      </c>
      <c r="B65" s="69" t="s">
        <v>109</v>
      </c>
      <c r="C65" s="69" t="s">
        <v>109</v>
      </c>
      <c r="D65" s="69" t="s">
        <v>109</v>
      </c>
      <c r="E65" s="69" t="s">
        <v>109</v>
      </c>
    </row>
    <row r="66" spans="1:16" x14ac:dyDescent="0.25">
      <c r="A66" s="69" t="s">
        <v>214</v>
      </c>
      <c r="B66" s="69">
        <v>473</v>
      </c>
      <c r="C66" s="69">
        <v>96</v>
      </c>
      <c r="D66" s="69">
        <v>569</v>
      </c>
      <c r="E66" s="69">
        <v>473</v>
      </c>
    </row>
    <row r="67" spans="1:16" x14ac:dyDescent="0.25">
      <c r="A67" s="69" t="s">
        <v>215</v>
      </c>
      <c r="B67" s="69">
        <v>516</v>
      </c>
      <c r="C67" s="69">
        <v>125</v>
      </c>
      <c r="D67" s="69">
        <v>642</v>
      </c>
      <c r="E67" s="69">
        <v>537</v>
      </c>
    </row>
    <row r="68" spans="1:16" x14ac:dyDescent="0.25">
      <c r="A68" s="69" t="s">
        <v>206</v>
      </c>
      <c r="B68" s="69">
        <v>548</v>
      </c>
      <c r="C68" s="69">
        <v>139</v>
      </c>
      <c r="D68" s="69">
        <v>688</v>
      </c>
      <c r="E68" s="69">
        <v>581</v>
      </c>
    </row>
    <row r="69" spans="1:16" x14ac:dyDescent="0.25">
      <c r="A69" s="69" t="s">
        <v>207</v>
      </c>
      <c r="B69" s="69">
        <v>613</v>
      </c>
      <c r="C69" s="69">
        <v>124</v>
      </c>
      <c r="D69" s="69">
        <v>737</v>
      </c>
      <c r="E69" s="69">
        <v>607</v>
      </c>
    </row>
    <row r="70" spans="1:16" x14ac:dyDescent="0.25">
      <c r="A70" s="69" t="s">
        <v>209</v>
      </c>
      <c r="B70" s="69">
        <v>619</v>
      </c>
      <c r="C70" s="69">
        <v>136</v>
      </c>
      <c r="D70" s="69">
        <v>755</v>
      </c>
      <c r="E70" s="69">
        <v>635</v>
      </c>
    </row>
    <row r="71" spans="1:16" x14ac:dyDescent="0.25">
      <c r="A71" s="69" t="s">
        <v>210</v>
      </c>
      <c r="B71" s="69">
        <v>700</v>
      </c>
      <c r="C71" s="69">
        <v>145</v>
      </c>
      <c r="D71" s="69">
        <v>844</v>
      </c>
      <c r="E71" s="69">
        <v>714</v>
      </c>
    </row>
    <row r="73" spans="1:16" x14ac:dyDescent="0.25">
      <c r="A73" t="s">
        <v>212</v>
      </c>
      <c r="B73">
        <v>2007</v>
      </c>
      <c r="F73" s="81">
        <f>1-(E69/D69)</f>
        <v>0.17639077340569875</v>
      </c>
    </row>
    <row r="74" spans="1:16" x14ac:dyDescent="0.25">
      <c r="B74">
        <v>2008</v>
      </c>
      <c r="F74" s="81">
        <f t="shared" ref="F74:F75" si="9">1-(E70/D70)</f>
        <v>0.15894039735099341</v>
      </c>
    </row>
    <row r="75" spans="1:16" x14ac:dyDescent="0.25">
      <c r="B75">
        <v>2009</v>
      </c>
      <c r="F75" s="81">
        <f t="shared" si="9"/>
        <v>0.15402843601895733</v>
      </c>
    </row>
    <row r="76" spans="1:16" x14ac:dyDescent="0.25">
      <c r="B76" t="s">
        <v>186</v>
      </c>
      <c r="F76" s="81">
        <f>(F73+F74)/2</f>
        <v>0.16766558537834608</v>
      </c>
    </row>
    <row r="77" spans="1:16" ht="15.75" thickBot="1" x14ac:dyDescent="0.3"/>
    <row r="78" spans="1:16" ht="19.5" thickBot="1" x14ac:dyDescent="0.35">
      <c r="A78" s="126" t="s">
        <v>217</v>
      </c>
      <c r="B78" s="127"/>
      <c r="C78" s="127"/>
      <c r="D78" s="128"/>
    </row>
    <row r="80" spans="1:16" x14ac:dyDescent="0.25">
      <c r="A80" s="68" t="s">
        <v>105</v>
      </c>
      <c r="B80" s="129" t="s">
        <v>106</v>
      </c>
      <c r="C80" s="129"/>
      <c r="D80" s="129"/>
      <c r="E80" s="129"/>
      <c r="F80" s="129"/>
      <c r="G80" s="129" t="s">
        <v>107</v>
      </c>
      <c r="H80" s="129"/>
      <c r="I80" s="129"/>
      <c r="J80" s="129"/>
      <c r="K80" s="129"/>
      <c r="L80" s="129" t="s">
        <v>108</v>
      </c>
      <c r="M80" s="129"/>
      <c r="N80" s="129"/>
      <c r="O80" s="129"/>
      <c r="P80" s="129"/>
    </row>
    <row r="81" spans="1:16" x14ac:dyDescent="0.25">
      <c r="A81" s="68" t="s">
        <v>105</v>
      </c>
      <c r="B81" s="69" t="s">
        <v>218</v>
      </c>
      <c r="C81" s="69" t="s">
        <v>219</v>
      </c>
      <c r="D81" s="69" t="s">
        <v>219</v>
      </c>
      <c r="E81" s="69" t="s">
        <v>220</v>
      </c>
      <c r="F81" s="69" t="s">
        <v>221</v>
      </c>
      <c r="G81" s="69" t="s">
        <v>218</v>
      </c>
      <c r="H81" s="69" t="s">
        <v>219</v>
      </c>
      <c r="I81" s="69" t="s">
        <v>219</v>
      </c>
      <c r="J81" s="69" t="s">
        <v>220</v>
      </c>
      <c r="K81" s="69" t="s">
        <v>221</v>
      </c>
      <c r="L81" s="69" t="s">
        <v>218</v>
      </c>
      <c r="M81" s="69" t="s">
        <v>219</v>
      </c>
      <c r="N81" s="69" t="s">
        <v>219</v>
      </c>
      <c r="O81" s="69" t="s">
        <v>220</v>
      </c>
      <c r="P81" s="69" t="s">
        <v>221</v>
      </c>
    </row>
    <row r="82" spans="1:16" x14ac:dyDescent="0.25">
      <c r="A82" s="68" t="s">
        <v>105</v>
      </c>
      <c r="B82" s="68" t="s">
        <v>105</v>
      </c>
      <c r="C82" s="69" t="s">
        <v>222</v>
      </c>
      <c r="D82" s="69" t="s">
        <v>223</v>
      </c>
      <c r="E82" s="69" t="s">
        <v>224</v>
      </c>
      <c r="F82" s="68" t="s">
        <v>105</v>
      </c>
      <c r="G82" s="68" t="s">
        <v>105</v>
      </c>
      <c r="H82" s="69" t="s">
        <v>222</v>
      </c>
      <c r="I82" s="69" t="s">
        <v>223</v>
      </c>
      <c r="J82" s="69" t="s">
        <v>224</v>
      </c>
      <c r="K82" s="68" t="s">
        <v>105</v>
      </c>
      <c r="L82" s="68" t="s">
        <v>105</v>
      </c>
      <c r="M82" s="69" t="s">
        <v>222</v>
      </c>
      <c r="N82" s="69" t="s">
        <v>223</v>
      </c>
      <c r="O82" s="69" t="s">
        <v>224</v>
      </c>
      <c r="P82" s="68" t="s">
        <v>105</v>
      </c>
    </row>
    <row r="83" spans="1:16" x14ac:dyDescent="0.25">
      <c r="A83" s="68" t="s">
        <v>105</v>
      </c>
      <c r="B83" s="68" t="s">
        <v>105</v>
      </c>
      <c r="C83" s="69" t="s">
        <v>223</v>
      </c>
      <c r="D83" s="68" t="s">
        <v>105</v>
      </c>
      <c r="E83" s="68" t="s">
        <v>105</v>
      </c>
      <c r="F83" s="68" t="s">
        <v>105</v>
      </c>
      <c r="G83" s="68" t="s">
        <v>105</v>
      </c>
      <c r="H83" s="69" t="s">
        <v>223</v>
      </c>
      <c r="I83" s="68" t="s">
        <v>105</v>
      </c>
      <c r="J83" s="68" t="s">
        <v>105</v>
      </c>
      <c r="K83" s="68" t="s">
        <v>105</v>
      </c>
      <c r="L83" s="68" t="s">
        <v>105</v>
      </c>
      <c r="M83" s="69" t="s">
        <v>223</v>
      </c>
      <c r="N83" s="68" t="s">
        <v>105</v>
      </c>
      <c r="O83" s="68" t="s">
        <v>105</v>
      </c>
      <c r="P83" s="68" t="s">
        <v>105</v>
      </c>
    </row>
    <row r="84" spans="1:16" x14ac:dyDescent="0.25">
      <c r="A84" s="69" t="s">
        <v>110</v>
      </c>
      <c r="B84" s="69" t="s">
        <v>225</v>
      </c>
      <c r="C84" s="69" t="s">
        <v>226</v>
      </c>
      <c r="D84" s="69" t="s">
        <v>129</v>
      </c>
      <c r="E84" s="69" t="s">
        <v>227</v>
      </c>
      <c r="F84" s="69" t="s">
        <v>228</v>
      </c>
      <c r="G84" s="69" t="s">
        <v>229</v>
      </c>
      <c r="H84" s="69" t="s">
        <v>230</v>
      </c>
      <c r="I84" s="69" t="s">
        <v>126</v>
      </c>
      <c r="J84" s="69" t="s">
        <v>231</v>
      </c>
      <c r="K84" s="69" t="s">
        <v>232</v>
      </c>
      <c r="L84" s="69" t="s">
        <v>233</v>
      </c>
      <c r="M84" s="69" t="s">
        <v>234</v>
      </c>
      <c r="N84" s="69" t="s">
        <v>235</v>
      </c>
      <c r="O84" s="69" t="s">
        <v>236</v>
      </c>
      <c r="P84" s="69" t="s">
        <v>237</v>
      </c>
    </row>
    <row r="85" spans="1:16" x14ac:dyDescent="0.25">
      <c r="A85" s="69" t="s">
        <v>111</v>
      </c>
      <c r="B85" s="69" t="s">
        <v>238</v>
      </c>
      <c r="C85" s="69" t="s">
        <v>239</v>
      </c>
      <c r="D85" s="69" t="s">
        <v>240</v>
      </c>
      <c r="E85" s="69" t="s">
        <v>241</v>
      </c>
      <c r="F85" s="69" t="s">
        <v>242</v>
      </c>
      <c r="G85" s="69" t="s">
        <v>243</v>
      </c>
      <c r="H85" s="69" t="s">
        <v>244</v>
      </c>
      <c r="I85" s="69" t="s">
        <v>245</v>
      </c>
      <c r="J85" s="69" t="s">
        <v>246</v>
      </c>
      <c r="K85" s="69" t="s">
        <v>247</v>
      </c>
      <c r="L85" s="69" t="s">
        <v>248</v>
      </c>
      <c r="M85" s="69" t="s">
        <v>249</v>
      </c>
      <c r="N85" s="69" t="s">
        <v>250</v>
      </c>
      <c r="O85" s="69" t="s">
        <v>251</v>
      </c>
      <c r="P85" s="69" t="s">
        <v>252</v>
      </c>
    </row>
    <row r="86" spans="1:16" x14ac:dyDescent="0.25">
      <c r="A86" s="69" t="s">
        <v>112</v>
      </c>
      <c r="B86" s="69" t="s">
        <v>253</v>
      </c>
      <c r="C86" s="69" t="s">
        <v>254</v>
      </c>
      <c r="D86" s="69" t="s">
        <v>255</v>
      </c>
      <c r="E86" s="69" t="s">
        <v>139</v>
      </c>
      <c r="F86" s="69" t="s">
        <v>256</v>
      </c>
      <c r="G86" s="69" t="s">
        <v>257</v>
      </c>
      <c r="H86" s="69" t="s">
        <v>258</v>
      </c>
      <c r="I86" s="69" t="s">
        <v>259</v>
      </c>
      <c r="J86" s="69" t="s">
        <v>132</v>
      </c>
      <c r="K86" s="69" t="s">
        <v>260</v>
      </c>
      <c r="L86" s="69" t="s">
        <v>261</v>
      </c>
      <c r="M86" s="69" t="s">
        <v>262</v>
      </c>
      <c r="N86" s="69" t="s">
        <v>127</v>
      </c>
      <c r="O86" s="69" t="s">
        <v>135</v>
      </c>
      <c r="P86" s="69" t="s">
        <v>263</v>
      </c>
    </row>
    <row r="87" spans="1:16" x14ac:dyDescent="0.25">
      <c r="A87" s="69" t="s">
        <v>113</v>
      </c>
      <c r="B87" s="69" t="s">
        <v>264</v>
      </c>
      <c r="C87" s="69" t="s">
        <v>265</v>
      </c>
      <c r="D87" s="69" t="s">
        <v>266</v>
      </c>
      <c r="E87" s="69" t="s">
        <v>267</v>
      </c>
      <c r="F87" s="69" t="s">
        <v>268</v>
      </c>
      <c r="G87" s="69" t="s">
        <v>269</v>
      </c>
      <c r="H87" s="69" t="s">
        <v>270</v>
      </c>
      <c r="I87" s="69" t="s">
        <v>255</v>
      </c>
      <c r="J87" s="69" t="s">
        <v>271</v>
      </c>
      <c r="K87" s="69" t="s">
        <v>272</v>
      </c>
      <c r="L87" s="69" t="s">
        <v>273</v>
      </c>
      <c r="M87" s="69" t="s">
        <v>274</v>
      </c>
      <c r="N87" s="69" t="s">
        <v>275</v>
      </c>
      <c r="O87" s="69" t="s">
        <v>134</v>
      </c>
      <c r="P87" s="69" t="s">
        <v>276</v>
      </c>
    </row>
    <row r="88" spans="1:16" x14ac:dyDescent="0.25">
      <c r="A88" s="69" t="s">
        <v>114</v>
      </c>
      <c r="B88" s="69" t="s">
        <v>277</v>
      </c>
      <c r="C88" s="69" t="s">
        <v>278</v>
      </c>
      <c r="D88" s="69" t="s">
        <v>279</v>
      </c>
      <c r="E88" s="69" t="s">
        <v>280</v>
      </c>
      <c r="F88" s="69" t="s">
        <v>281</v>
      </c>
      <c r="G88" s="69" t="s">
        <v>282</v>
      </c>
      <c r="H88" s="69" t="s">
        <v>283</v>
      </c>
      <c r="I88" s="69" t="s">
        <v>266</v>
      </c>
      <c r="J88" s="69" t="s">
        <v>284</v>
      </c>
      <c r="K88" s="69" t="s">
        <v>285</v>
      </c>
      <c r="L88" s="69" t="s">
        <v>286</v>
      </c>
      <c r="M88" s="69" t="s">
        <v>287</v>
      </c>
      <c r="N88" s="69" t="s">
        <v>288</v>
      </c>
      <c r="O88" s="69" t="s">
        <v>289</v>
      </c>
      <c r="P88" s="69" t="s">
        <v>290</v>
      </c>
    </row>
    <row r="89" spans="1:16" x14ac:dyDescent="0.25">
      <c r="A89" s="69" t="s">
        <v>115</v>
      </c>
      <c r="B89" s="69" t="s">
        <v>291</v>
      </c>
      <c r="C89" s="69" t="s">
        <v>292</v>
      </c>
      <c r="D89" s="69" t="s">
        <v>293</v>
      </c>
      <c r="E89" s="69" t="s">
        <v>294</v>
      </c>
      <c r="F89" s="69" t="s">
        <v>295</v>
      </c>
      <c r="G89" s="69" t="s">
        <v>296</v>
      </c>
      <c r="H89" s="69" t="s">
        <v>297</v>
      </c>
      <c r="I89" s="69" t="s">
        <v>128</v>
      </c>
      <c r="J89" s="69" t="s">
        <v>208</v>
      </c>
      <c r="K89" s="69" t="s">
        <v>298</v>
      </c>
      <c r="L89" s="69" t="s">
        <v>299</v>
      </c>
      <c r="M89" s="69" t="s">
        <v>300</v>
      </c>
      <c r="N89" s="69" t="s">
        <v>131</v>
      </c>
      <c r="O89" s="69" t="s">
        <v>301</v>
      </c>
      <c r="P89" s="69" t="s">
        <v>302</v>
      </c>
    </row>
    <row r="90" spans="1:16" x14ac:dyDescent="0.25">
      <c r="A90" s="69" t="s">
        <v>116</v>
      </c>
      <c r="B90" s="69" t="s">
        <v>216</v>
      </c>
      <c r="C90" s="69" t="s">
        <v>303</v>
      </c>
      <c r="D90" s="69" t="s">
        <v>304</v>
      </c>
      <c r="E90" s="69" t="s">
        <v>305</v>
      </c>
      <c r="F90" s="69" t="s">
        <v>306</v>
      </c>
      <c r="G90" s="69" t="s">
        <v>307</v>
      </c>
      <c r="H90" s="69" t="s">
        <v>308</v>
      </c>
      <c r="I90" s="69" t="s">
        <v>309</v>
      </c>
      <c r="J90" s="69" t="s">
        <v>138</v>
      </c>
      <c r="K90" s="69" t="s">
        <v>310</v>
      </c>
      <c r="L90" s="69" t="s">
        <v>311</v>
      </c>
      <c r="M90" s="69" t="s">
        <v>312</v>
      </c>
      <c r="N90" s="69" t="s">
        <v>313</v>
      </c>
      <c r="O90" s="69" t="s">
        <v>314</v>
      </c>
      <c r="P90" s="69" t="s">
        <v>315</v>
      </c>
    </row>
    <row r="91" spans="1:16" x14ac:dyDescent="0.25">
      <c r="A91" s="69" t="s">
        <v>117</v>
      </c>
      <c r="B91" s="69" t="s">
        <v>316</v>
      </c>
      <c r="C91" s="69" t="s">
        <v>317</v>
      </c>
      <c r="D91" s="69" t="s">
        <v>318</v>
      </c>
      <c r="E91" s="69" t="s">
        <v>319</v>
      </c>
      <c r="F91" s="69" t="s">
        <v>320</v>
      </c>
      <c r="G91" s="69" t="s">
        <v>321</v>
      </c>
      <c r="H91" s="69" t="s">
        <v>322</v>
      </c>
      <c r="I91" s="69" t="s">
        <v>323</v>
      </c>
      <c r="J91" s="69" t="s">
        <v>289</v>
      </c>
      <c r="K91" s="69" t="s">
        <v>324</v>
      </c>
      <c r="L91" s="69" t="s">
        <v>325</v>
      </c>
      <c r="M91" s="69" t="s">
        <v>326</v>
      </c>
      <c r="N91" s="69" t="s">
        <v>327</v>
      </c>
      <c r="O91" s="69" t="s">
        <v>328</v>
      </c>
      <c r="P91" s="69" t="s">
        <v>329</v>
      </c>
    </row>
    <row r="92" spans="1:16" x14ac:dyDescent="0.25">
      <c r="A92" s="69" t="s">
        <v>118</v>
      </c>
      <c r="B92" s="69" t="s">
        <v>330</v>
      </c>
      <c r="C92" s="69" t="s">
        <v>331</v>
      </c>
      <c r="D92" s="69" t="s">
        <v>332</v>
      </c>
      <c r="E92" s="69" t="s">
        <v>333</v>
      </c>
      <c r="F92" s="69" t="s">
        <v>334</v>
      </c>
      <c r="G92" s="69" t="s">
        <v>335</v>
      </c>
      <c r="H92" s="69" t="s">
        <v>336</v>
      </c>
      <c r="I92" s="69" t="s">
        <v>337</v>
      </c>
      <c r="J92" s="69" t="s">
        <v>136</v>
      </c>
      <c r="K92" s="69" t="s">
        <v>338</v>
      </c>
      <c r="L92" s="69" t="s">
        <v>339</v>
      </c>
      <c r="M92" s="69" t="s">
        <v>340</v>
      </c>
      <c r="N92" s="69" t="s">
        <v>137</v>
      </c>
      <c r="O92" s="69" t="s">
        <v>341</v>
      </c>
      <c r="P92" s="69" t="s">
        <v>342</v>
      </c>
    </row>
    <row r="93" spans="1:16" x14ac:dyDescent="0.25">
      <c r="A93" s="69" t="s">
        <v>119</v>
      </c>
      <c r="B93" s="69" t="s">
        <v>343</v>
      </c>
      <c r="C93" s="69" t="s">
        <v>344</v>
      </c>
      <c r="D93" s="69" t="s">
        <v>345</v>
      </c>
      <c r="E93" s="69" t="s">
        <v>346</v>
      </c>
      <c r="F93" s="69" t="s">
        <v>347</v>
      </c>
      <c r="G93" s="69" t="s">
        <v>348</v>
      </c>
      <c r="H93" s="69" t="s">
        <v>349</v>
      </c>
      <c r="I93" s="69" t="s">
        <v>130</v>
      </c>
      <c r="J93" s="69" t="s">
        <v>350</v>
      </c>
      <c r="K93" s="69" t="s">
        <v>351</v>
      </c>
      <c r="L93" s="69" t="s">
        <v>228</v>
      </c>
      <c r="M93" s="69" t="s">
        <v>352</v>
      </c>
      <c r="N93" s="69" t="s">
        <v>133</v>
      </c>
      <c r="O93" s="69" t="s">
        <v>304</v>
      </c>
      <c r="P93" s="69" t="s">
        <v>353</v>
      </c>
    </row>
    <row r="94" spans="1:16" x14ac:dyDescent="0.25">
      <c r="A94" s="69" t="s">
        <v>120</v>
      </c>
      <c r="B94" s="69" t="s">
        <v>354</v>
      </c>
      <c r="C94" s="69" t="s">
        <v>355</v>
      </c>
      <c r="D94" s="69" t="s">
        <v>356</v>
      </c>
      <c r="E94" s="69" t="s">
        <v>140</v>
      </c>
      <c r="F94" s="69" t="s">
        <v>357</v>
      </c>
      <c r="G94" s="69" t="s">
        <v>358</v>
      </c>
      <c r="H94" s="69" t="s">
        <v>359</v>
      </c>
      <c r="I94" s="69" t="s">
        <v>360</v>
      </c>
      <c r="J94" s="69" t="s">
        <v>361</v>
      </c>
      <c r="K94" s="69" t="s">
        <v>362</v>
      </c>
      <c r="L94" s="69" t="s">
        <v>363</v>
      </c>
      <c r="M94" s="69" t="s">
        <v>364</v>
      </c>
      <c r="N94" s="69" t="s">
        <v>135</v>
      </c>
      <c r="O94" s="69" t="s">
        <v>211</v>
      </c>
      <c r="P94" s="69" t="s">
        <v>365</v>
      </c>
    </row>
    <row r="95" spans="1:16" x14ac:dyDescent="0.25">
      <c r="A95" s="69" t="s">
        <v>121</v>
      </c>
      <c r="B95" s="69" t="s">
        <v>232</v>
      </c>
      <c r="C95" s="69" t="s">
        <v>366</v>
      </c>
      <c r="D95" s="69" t="s">
        <v>367</v>
      </c>
      <c r="E95" s="69" t="s">
        <v>368</v>
      </c>
      <c r="F95" s="69" t="s">
        <v>369</v>
      </c>
      <c r="G95" s="69" t="s">
        <v>370</v>
      </c>
      <c r="H95" s="69" t="s">
        <v>371</v>
      </c>
      <c r="I95" s="69" t="s">
        <v>372</v>
      </c>
      <c r="J95" s="69" t="s">
        <v>373</v>
      </c>
      <c r="K95" s="69" t="s">
        <v>374</v>
      </c>
      <c r="L95" s="69" t="s">
        <v>375</v>
      </c>
      <c r="M95" s="69" t="s">
        <v>376</v>
      </c>
      <c r="N95" s="69" t="s">
        <v>208</v>
      </c>
      <c r="O95" s="69" t="s">
        <v>377</v>
      </c>
      <c r="P95" s="69" t="s">
        <v>378</v>
      </c>
    </row>
    <row r="96" spans="1:16" x14ac:dyDescent="0.25">
      <c r="A96" s="69" t="s">
        <v>122</v>
      </c>
      <c r="B96" s="69" t="s">
        <v>379</v>
      </c>
      <c r="C96" s="69" t="s">
        <v>380</v>
      </c>
      <c r="D96" s="69" t="s">
        <v>381</v>
      </c>
      <c r="E96" s="69" t="s">
        <v>382</v>
      </c>
      <c r="F96" s="69" t="s">
        <v>383</v>
      </c>
      <c r="G96" s="69" t="s">
        <v>384</v>
      </c>
      <c r="H96" s="69" t="s">
        <v>385</v>
      </c>
      <c r="I96" s="69" t="s">
        <v>327</v>
      </c>
      <c r="J96" s="69" t="s">
        <v>328</v>
      </c>
      <c r="K96" s="69" t="s">
        <v>386</v>
      </c>
      <c r="L96" s="69" t="s">
        <v>387</v>
      </c>
      <c r="M96" s="69" t="s">
        <v>388</v>
      </c>
      <c r="N96" s="69" t="s">
        <v>389</v>
      </c>
      <c r="O96" s="69" t="s">
        <v>244</v>
      </c>
      <c r="P96" s="69" t="s">
        <v>390</v>
      </c>
    </row>
    <row r="97" spans="1:16" x14ac:dyDescent="0.25">
      <c r="A97" s="69" t="s">
        <v>123</v>
      </c>
      <c r="B97" s="69" t="s">
        <v>391</v>
      </c>
      <c r="C97" s="69" t="s">
        <v>392</v>
      </c>
      <c r="D97" s="69" t="s">
        <v>393</v>
      </c>
      <c r="E97" s="69" t="s">
        <v>394</v>
      </c>
      <c r="F97" s="69" t="s">
        <v>395</v>
      </c>
      <c r="G97" s="69" t="s">
        <v>396</v>
      </c>
      <c r="H97" s="69" t="s">
        <v>397</v>
      </c>
      <c r="I97" s="69" t="s">
        <v>246</v>
      </c>
      <c r="J97" s="69" t="s">
        <v>398</v>
      </c>
      <c r="K97" s="69" t="s">
        <v>399</v>
      </c>
      <c r="L97" s="69" t="s">
        <v>400</v>
      </c>
      <c r="M97" s="69" t="s">
        <v>401</v>
      </c>
      <c r="N97" s="69" t="s">
        <v>402</v>
      </c>
      <c r="O97" s="69" t="s">
        <v>258</v>
      </c>
      <c r="P97" s="69" t="s">
        <v>403</v>
      </c>
    </row>
    <row r="98" spans="1:16" x14ac:dyDescent="0.25">
      <c r="A98" s="69" t="s">
        <v>124</v>
      </c>
      <c r="B98" s="69" t="s">
        <v>404</v>
      </c>
      <c r="C98" s="69" t="s">
        <v>277</v>
      </c>
      <c r="D98" s="69" t="s">
        <v>405</v>
      </c>
      <c r="E98" s="69" t="s">
        <v>406</v>
      </c>
      <c r="F98" s="69" t="s">
        <v>407</v>
      </c>
      <c r="G98" s="69" t="s">
        <v>408</v>
      </c>
      <c r="H98" s="69" t="s">
        <v>409</v>
      </c>
      <c r="I98" s="69" t="s">
        <v>241</v>
      </c>
      <c r="J98" s="69" t="s">
        <v>410</v>
      </c>
      <c r="K98" s="69" t="s">
        <v>411</v>
      </c>
      <c r="L98" s="69" t="s">
        <v>412</v>
      </c>
      <c r="M98" s="69" t="s">
        <v>413</v>
      </c>
      <c r="N98" s="69" t="s">
        <v>301</v>
      </c>
      <c r="O98" s="69" t="s">
        <v>414</v>
      </c>
      <c r="P98" s="69" t="s">
        <v>415</v>
      </c>
    </row>
    <row r="100" spans="1:16" x14ac:dyDescent="0.25">
      <c r="B100" s="69" t="s">
        <v>416</v>
      </c>
      <c r="C100" s="69" t="s">
        <v>417</v>
      </c>
      <c r="D100" s="69" t="s">
        <v>418</v>
      </c>
    </row>
    <row r="101" spans="1:16" x14ac:dyDescent="0.25">
      <c r="A101" s="69" t="s">
        <v>110</v>
      </c>
      <c r="B101" s="69">
        <v>849</v>
      </c>
      <c r="C101" s="69">
        <v>835</v>
      </c>
      <c r="D101" s="69">
        <v>864</v>
      </c>
    </row>
    <row r="102" spans="1:16" x14ac:dyDescent="0.25">
      <c r="A102" s="69" t="s">
        <v>111</v>
      </c>
      <c r="B102" s="69">
        <v>912</v>
      </c>
      <c r="C102" s="69">
        <v>882</v>
      </c>
      <c r="D102" s="69">
        <v>942</v>
      </c>
    </row>
    <row r="103" spans="1:16" x14ac:dyDescent="0.25">
      <c r="A103" s="69" t="s">
        <v>112</v>
      </c>
      <c r="B103" s="69">
        <v>977</v>
      </c>
      <c r="C103" s="69">
        <v>931</v>
      </c>
      <c r="D103" s="69">
        <v>1024</v>
      </c>
    </row>
    <row r="104" spans="1:16" x14ac:dyDescent="0.25">
      <c r="A104" s="69" t="s">
        <v>113</v>
      </c>
      <c r="B104" s="69">
        <v>1044</v>
      </c>
      <c r="C104" s="69">
        <v>980</v>
      </c>
      <c r="D104" s="69">
        <v>1108</v>
      </c>
    </row>
    <row r="105" spans="1:16" x14ac:dyDescent="0.25">
      <c r="A105" s="69" t="s">
        <v>114</v>
      </c>
      <c r="B105" s="69">
        <v>1113</v>
      </c>
      <c r="C105" s="69">
        <v>1031</v>
      </c>
      <c r="D105" s="69">
        <v>1195</v>
      </c>
    </row>
    <row r="106" spans="1:16" x14ac:dyDescent="0.25">
      <c r="A106" s="69" t="s">
        <v>115</v>
      </c>
      <c r="B106" s="69">
        <v>1183</v>
      </c>
      <c r="C106" s="69">
        <v>1083</v>
      </c>
      <c r="D106" s="69">
        <v>1285</v>
      </c>
    </row>
    <row r="107" spans="1:16" x14ac:dyDescent="0.25">
      <c r="A107" s="69" t="s">
        <v>116</v>
      </c>
      <c r="B107" s="69">
        <v>1256</v>
      </c>
      <c r="C107" s="69">
        <v>1136</v>
      </c>
      <c r="D107" s="69">
        <v>1379</v>
      </c>
    </row>
    <row r="108" spans="1:16" x14ac:dyDescent="0.25">
      <c r="A108" s="69" t="s">
        <v>117</v>
      </c>
      <c r="B108" s="69">
        <v>1331</v>
      </c>
      <c r="C108" s="69">
        <v>1190</v>
      </c>
      <c r="D108" s="69">
        <v>1476</v>
      </c>
    </row>
    <row r="109" spans="1:16" x14ac:dyDescent="0.25">
      <c r="A109" s="69" t="s">
        <v>118</v>
      </c>
      <c r="B109" s="69">
        <v>1408</v>
      </c>
      <c r="C109" s="69">
        <v>1245</v>
      </c>
      <c r="D109" s="69">
        <v>1576</v>
      </c>
    </row>
    <row r="110" spans="1:16" x14ac:dyDescent="0.25">
      <c r="A110" s="69" t="s">
        <v>119</v>
      </c>
      <c r="B110" s="69">
        <v>1487</v>
      </c>
      <c r="C110" s="69">
        <v>1301</v>
      </c>
      <c r="D110" s="69">
        <v>1680</v>
      </c>
    </row>
    <row r="111" spans="1:16" x14ac:dyDescent="0.25">
      <c r="A111" s="69" t="s">
        <v>120</v>
      </c>
      <c r="B111" s="69">
        <v>1568</v>
      </c>
      <c r="C111" s="69">
        <v>1359</v>
      </c>
      <c r="D111" s="69">
        <v>1787</v>
      </c>
    </row>
    <row r="112" spans="1:16" x14ac:dyDescent="0.25">
      <c r="A112" s="69" t="s">
        <v>121</v>
      </c>
      <c r="B112" s="69">
        <v>1652</v>
      </c>
      <c r="C112" s="69">
        <v>1418</v>
      </c>
      <c r="D112" s="69">
        <v>1898</v>
      </c>
    </row>
    <row r="113" spans="1:18" x14ac:dyDescent="0.25">
      <c r="A113" s="69" t="s">
        <v>122</v>
      </c>
      <c r="B113" s="69">
        <v>1737</v>
      </c>
      <c r="C113" s="69">
        <v>1478</v>
      </c>
      <c r="D113" s="69">
        <v>2013</v>
      </c>
    </row>
    <row r="114" spans="1:18" x14ac:dyDescent="0.25">
      <c r="A114" s="69" t="s">
        <v>123</v>
      </c>
      <c r="B114" s="69">
        <v>1826</v>
      </c>
      <c r="C114" s="69">
        <v>1539</v>
      </c>
      <c r="D114" s="69">
        <v>2132</v>
      </c>
    </row>
    <row r="115" spans="1:18" x14ac:dyDescent="0.25">
      <c r="A115" s="69" t="s">
        <v>124</v>
      </c>
      <c r="B115" s="69">
        <v>1916</v>
      </c>
      <c r="C115" s="69">
        <v>1602</v>
      </c>
      <c r="D115" s="69">
        <v>2254</v>
      </c>
    </row>
    <row r="117" spans="1:18" x14ac:dyDescent="0.25">
      <c r="B117" t="s">
        <v>419</v>
      </c>
    </row>
    <row r="119" spans="1:18" x14ac:dyDescent="0.25">
      <c r="A119" s="68" t="s">
        <v>105</v>
      </c>
      <c r="B119" s="129" t="s">
        <v>106</v>
      </c>
      <c r="C119" s="129"/>
      <c r="D119" s="129"/>
      <c r="E119" s="129"/>
      <c r="F119" s="129"/>
      <c r="G119" s="129" t="s">
        <v>107</v>
      </c>
      <c r="H119" s="129"/>
      <c r="I119" s="129"/>
      <c r="J119" s="129"/>
      <c r="K119" s="129"/>
      <c r="L119" s="129"/>
      <c r="M119" s="129" t="s">
        <v>108</v>
      </c>
      <c r="N119" s="129"/>
      <c r="O119" s="129"/>
      <c r="P119" s="129"/>
      <c r="Q119" s="129"/>
      <c r="R119" s="129"/>
    </row>
    <row r="120" spans="1:18" x14ac:dyDescent="0.25">
      <c r="A120" s="68" t="s">
        <v>105</v>
      </c>
      <c r="B120" s="69" t="s">
        <v>218</v>
      </c>
      <c r="C120" s="69" t="s">
        <v>219</v>
      </c>
      <c r="D120" s="69" t="s">
        <v>219</v>
      </c>
      <c r="E120" s="69" t="s">
        <v>220</v>
      </c>
      <c r="F120" s="69" t="s">
        <v>221</v>
      </c>
      <c r="G120" s="69" t="s">
        <v>218</v>
      </c>
      <c r="H120" s="69" t="s">
        <v>219</v>
      </c>
      <c r="I120" s="69" t="s">
        <v>219</v>
      </c>
      <c r="J120" s="68" t="s">
        <v>105</v>
      </c>
      <c r="K120" s="69" t="s">
        <v>220</v>
      </c>
      <c r="L120" s="69" t="s">
        <v>221</v>
      </c>
      <c r="M120" s="69" t="s">
        <v>218</v>
      </c>
      <c r="N120" s="69" t="s">
        <v>219</v>
      </c>
      <c r="O120" s="69" t="s">
        <v>219</v>
      </c>
      <c r="P120" s="68" t="s">
        <v>105</v>
      </c>
      <c r="Q120" s="69" t="s">
        <v>220</v>
      </c>
      <c r="R120" s="69" t="s">
        <v>221</v>
      </c>
    </row>
    <row r="121" spans="1:18" x14ac:dyDescent="0.25">
      <c r="A121" s="68" t="s">
        <v>105</v>
      </c>
      <c r="B121" s="68" t="s">
        <v>105</v>
      </c>
      <c r="C121" s="69" t="s">
        <v>222</v>
      </c>
      <c r="D121" s="69" t="s">
        <v>223</v>
      </c>
      <c r="E121" s="69" t="s">
        <v>224</v>
      </c>
      <c r="F121" s="68" t="s">
        <v>105</v>
      </c>
      <c r="G121" s="68" t="s">
        <v>105</v>
      </c>
      <c r="H121" s="69" t="s">
        <v>222</v>
      </c>
      <c r="I121" s="69" t="s">
        <v>223</v>
      </c>
      <c r="J121" s="68" t="s">
        <v>105</v>
      </c>
      <c r="K121" s="69" t="s">
        <v>224</v>
      </c>
      <c r="L121" s="68" t="s">
        <v>105</v>
      </c>
      <c r="M121" s="68" t="s">
        <v>105</v>
      </c>
      <c r="N121" s="69" t="s">
        <v>222</v>
      </c>
      <c r="O121" s="69" t="s">
        <v>223</v>
      </c>
      <c r="P121" s="68" t="s">
        <v>105</v>
      </c>
      <c r="Q121" s="69" t="s">
        <v>224</v>
      </c>
      <c r="R121" s="68" t="s">
        <v>105</v>
      </c>
    </row>
    <row r="122" spans="1:18" x14ac:dyDescent="0.25">
      <c r="A122" s="68" t="s">
        <v>105</v>
      </c>
      <c r="B122" s="68" t="s">
        <v>105</v>
      </c>
      <c r="C122" s="69" t="s">
        <v>223</v>
      </c>
      <c r="D122" s="68" t="s">
        <v>105</v>
      </c>
      <c r="E122" s="68" t="s">
        <v>105</v>
      </c>
      <c r="F122" s="68" t="s">
        <v>105</v>
      </c>
      <c r="G122" s="68" t="s">
        <v>105</v>
      </c>
      <c r="H122" s="69" t="s">
        <v>223</v>
      </c>
      <c r="I122" s="68" t="s">
        <v>105</v>
      </c>
      <c r="J122" s="68" t="s">
        <v>105</v>
      </c>
      <c r="K122" s="68" t="s">
        <v>105</v>
      </c>
      <c r="L122" s="68" t="s">
        <v>105</v>
      </c>
      <c r="M122" s="68" t="s">
        <v>105</v>
      </c>
      <c r="N122" s="69" t="s">
        <v>223</v>
      </c>
      <c r="O122" s="68" t="s">
        <v>105</v>
      </c>
      <c r="P122" s="68" t="s">
        <v>105</v>
      </c>
      <c r="Q122" s="68" t="s">
        <v>105</v>
      </c>
      <c r="R122" s="68" t="s">
        <v>105</v>
      </c>
    </row>
    <row r="123" spans="1:18" x14ac:dyDescent="0.25">
      <c r="A123" s="69" t="s">
        <v>110</v>
      </c>
      <c r="B123" s="69">
        <v>86</v>
      </c>
      <c r="C123" s="69">
        <v>22</v>
      </c>
      <c r="D123" s="69">
        <v>3</v>
      </c>
      <c r="E123" s="69">
        <v>38</v>
      </c>
      <c r="F123" s="69">
        <v>149</v>
      </c>
      <c r="G123" s="69">
        <v>85</v>
      </c>
      <c r="H123" s="69">
        <v>21</v>
      </c>
      <c r="I123" s="68"/>
      <c r="J123" s="69">
        <v>3</v>
      </c>
      <c r="K123" s="69">
        <v>37</v>
      </c>
      <c r="L123" s="69">
        <v>146</v>
      </c>
      <c r="M123" s="69">
        <v>88</v>
      </c>
      <c r="N123" s="69">
        <v>22</v>
      </c>
      <c r="O123" s="68"/>
      <c r="P123" s="69">
        <v>4</v>
      </c>
      <c r="Q123" s="69">
        <v>38</v>
      </c>
      <c r="R123" s="69">
        <v>151</v>
      </c>
    </row>
    <row r="124" spans="1:18" x14ac:dyDescent="0.25">
      <c r="A124" s="69" t="s">
        <v>111</v>
      </c>
      <c r="B124" s="69">
        <v>93</v>
      </c>
      <c r="C124" s="69">
        <v>23</v>
      </c>
      <c r="D124" s="69">
        <v>4</v>
      </c>
      <c r="E124" s="69">
        <v>41</v>
      </c>
      <c r="F124" s="69">
        <v>160</v>
      </c>
      <c r="G124" s="69">
        <v>90</v>
      </c>
      <c r="H124" s="69">
        <v>22</v>
      </c>
      <c r="I124" s="68"/>
      <c r="J124" s="69">
        <v>4</v>
      </c>
      <c r="K124" s="69">
        <v>39</v>
      </c>
      <c r="L124" s="69">
        <v>154</v>
      </c>
      <c r="M124" s="69">
        <v>96</v>
      </c>
      <c r="N124" s="69">
        <v>24</v>
      </c>
      <c r="O124" s="68"/>
      <c r="P124" s="69">
        <v>4</v>
      </c>
      <c r="Q124" s="69">
        <v>42</v>
      </c>
      <c r="R124" s="69">
        <v>165</v>
      </c>
    </row>
    <row r="125" spans="1:18" x14ac:dyDescent="0.25">
      <c r="A125" s="69" t="s">
        <v>112</v>
      </c>
      <c r="B125" s="69">
        <v>99</v>
      </c>
      <c r="C125" s="69">
        <v>25</v>
      </c>
      <c r="D125" s="69">
        <v>4</v>
      </c>
      <c r="E125" s="69">
        <v>43</v>
      </c>
      <c r="F125" s="69">
        <v>171</v>
      </c>
      <c r="G125" s="69">
        <v>94</v>
      </c>
      <c r="H125" s="69">
        <v>24</v>
      </c>
      <c r="I125" s="68"/>
      <c r="J125" s="69">
        <v>4</v>
      </c>
      <c r="K125" s="69">
        <v>41</v>
      </c>
      <c r="L125" s="69">
        <v>163</v>
      </c>
      <c r="M125" s="69">
        <v>104</v>
      </c>
      <c r="N125" s="69">
        <v>26</v>
      </c>
      <c r="O125" s="68"/>
      <c r="P125" s="69">
        <v>4</v>
      </c>
      <c r="Q125" s="69">
        <v>45</v>
      </c>
      <c r="R125" s="69">
        <v>179</v>
      </c>
    </row>
    <row r="126" spans="1:18" x14ac:dyDescent="0.25">
      <c r="A126" s="69" t="s">
        <v>113</v>
      </c>
      <c r="B126" s="69">
        <v>106</v>
      </c>
      <c r="C126" s="69">
        <v>26</v>
      </c>
      <c r="D126" s="69">
        <v>4</v>
      </c>
      <c r="E126" s="69">
        <v>46</v>
      </c>
      <c r="F126" s="69">
        <v>183</v>
      </c>
      <c r="G126" s="69">
        <v>99</v>
      </c>
      <c r="H126" s="69">
        <v>25</v>
      </c>
      <c r="I126" s="68"/>
      <c r="J126" s="69">
        <v>4</v>
      </c>
      <c r="K126" s="69">
        <v>44</v>
      </c>
      <c r="L126" s="69">
        <v>172</v>
      </c>
      <c r="M126" s="69">
        <v>112</v>
      </c>
      <c r="N126" s="69">
        <v>28</v>
      </c>
      <c r="O126" s="68"/>
      <c r="P126" s="69">
        <v>4</v>
      </c>
      <c r="Q126" s="69">
        <v>49</v>
      </c>
      <c r="R126" s="69">
        <v>194</v>
      </c>
    </row>
    <row r="127" spans="1:18" x14ac:dyDescent="0.25">
      <c r="A127" s="69" t="s">
        <v>114</v>
      </c>
      <c r="B127" s="69">
        <v>113</v>
      </c>
      <c r="C127" s="69">
        <v>28</v>
      </c>
      <c r="D127" s="69">
        <v>5</v>
      </c>
      <c r="E127" s="69">
        <v>49</v>
      </c>
      <c r="F127" s="69">
        <v>195</v>
      </c>
      <c r="G127" s="69">
        <v>105</v>
      </c>
      <c r="H127" s="69">
        <v>26</v>
      </c>
      <c r="I127" s="68"/>
      <c r="J127" s="69">
        <v>4</v>
      </c>
      <c r="K127" s="69">
        <v>46</v>
      </c>
      <c r="L127" s="69">
        <v>181</v>
      </c>
      <c r="M127" s="69">
        <v>121</v>
      </c>
      <c r="N127" s="69">
        <v>30</v>
      </c>
      <c r="O127" s="68"/>
      <c r="P127" s="69">
        <v>5</v>
      </c>
      <c r="Q127" s="69">
        <v>53</v>
      </c>
      <c r="R127" s="69">
        <v>209</v>
      </c>
    </row>
    <row r="128" spans="1:18" x14ac:dyDescent="0.25">
      <c r="A128" s="69" t="s">
        <v>115</v>
      </c>
      <c r="B128" s="69">
        <v>120</v>
      </c>
      <c r="C128" s="69">
        <v>30</v>
      </c>
      <c r="D128" s="69">
        <v>5</v>
      </c>
      <c r="E128" s="69">
        <v>53</v>
      </c>
      <c r="F128" s="69">
        <v>207</v>
      </c>
      <c r="G128" s="69">
        <v>110</v>
      </c>
      <c r="H128" s="69">
        <v>27</v>
      </c>
      <c r="I128" s="68"/>
      <c r="J128" s="69">
        <v>4</v>
      </c>
      <c r="K128" s="69">
        <v>48</v>
      </c>
      <c r="L128" s="69">
        <v>190</v>
      </c>
      <c r="M128" s="69">
        <v>130</v>
      </c>
      <c r="N128" s="69">
        <v>33</v>
      </c>
      <c r="O128" s="68"/>
      <c r="P128" s="69">
        <v>5</v>
      </c>
      <c r="Q128" s="69">
        <v>57</v>
      </c>
      <c r="R128" s="69">
        <v>225</v>
      </c>
    </row>
    <row r="129" spans="1:18" x14ac:dyDescent="0.25">
      <c r="A129" s="69" t="s">
        <v>116</v>
      </c>
      <c r="B129" s="69">
        <v>127</v>
      </c>
      <c r="C129" s="69">
        <v>32</v>
      </c>
      <c r="D129" s="69">
        <v>5</v>
      </c>
      <c r="E129" s="69">
        <v>56</v>
      </c>
      <c r="F129" s="69">
        <v>220</v>
      </c>
      <c r="G129" s="69">
        <v>115</v>
      </c>
      <c r="H129" s="69">
        <v>29</v>
      </c>
      <c r="I129" s="68"/>
      <c r="J129" s="69">
        <v>5</v>
      </c>
      <c r="K129" s="69">
        <v>50</v>
      </c>
      <c r="L129" s="69">
        <v>199</v>
      </c>
      <c r="M129" s="69">
        <v>140</v>
      </c>
      <c r="N129" s="69">
        <v>35</v>
      </c>
      <c r="O129" s="68"/>
      <c r="P129" s="69">
        <v>6</v>
      </c>
      <c r="Q129" s="69">
        <v>61</v>
      </c>
      <c r="R129" s="69">
        <v>241</v>
      </c>
    </row>
    <row r="130" spans="1:18" x14ac:dyDescent="0.25">
      <c r="A130" s="69" t="s">
        <v>117</v>
      </c>
      <c r="B130" s="69">
        <v>135</v>
      </c>
      <c r="C130" s="69">
        <v>34</v>
      </c>
      <c r="D130" s="69">
        <v>5</v>
      </c>
      <c r="E130" s="69">
        <v>59</v>
      </c>
      <c r="F130" s="69">
        <v>233</v>
      </c>
      <c r="G130" s="69">
        <v>121</v>
      </c>
      <c r="H130" s="69">
        <v>30</v>
      </c>
      <c r="I130" s="68"/>
      <c r="J130" s="69">
        <v>5</v>
      </c>
      <c r="K130" s="69">
        <v>53</v>
      </c>
      <c r="L130" s="69">
        <v>208</v>
      </c>
      <c r="M130" s="69">
        <v>150</v>
      </c>
      <c r="N130" s="69">
        <v>37</v>
      </c>
      <c r="O130" s="68"/>
      <c r="P130" s="69">
        <v>6</v>
      </c>
      <c r="Q130" s="69">
        <v>66</v>
      </c>
      <c r="R130" s="69">
        <v>258</v>
      </c>
    </row>
    <row r="131" spans="1:18" x14ac:dyDescent="0.25">
      <c r="A131" s="69" t="s">
        <v>118</v>
      </c>
      <c r="B131" s="69">
        <v>143</v>
      </c>
      <c r="C131" s="69">
        <v>36</v>
      </c>
      <c r="D131" s="69">
        <v>6</v>
      </c>
      <c r="E131" s="69">
        <v>63</v>
      </c>
      <c r="F131" s="69">
        <v>246</v>
      </c>
      <c r="G131" s="69">
        <v>126</v>
      </c>
      <c r="H131" s="69">
        <v>32</v>
      </c>
      <c r="I131" s="68"/>
      <c r="J131" s="69">
        <v>5</v>
      </c>
      <c r="K131" s="69">
        <v>55</v>
      </c>
      <c r="L131" s="69">
        <v>218</v>
      </c>
      <c r="M131" s="69">
        <v>160</v>
      </c>
      <c r="N131" s="69">
        <v>40</v>
      </c>
      <c r="O131" s="68"/>
      <c r="P131" s="69">
        <v>6</v>
      </c>
      <c r="Q131" s="69">
        <v>70</v>
      </c>
      <c r="R131" s="69">
        <v>276</v>
      </c>
    </row>
    <row r="132" spans="1:18" x14ac:dyDescent="0.25">
      <c r="A132" s="69" t="s">
        <v>119</v>
      </c>
      <c r="B132" s="69">
        <v>151</v>
      </c>
      <c r="C132" s="69">
        <v>38</v>
      </c>
      <c r="D132" s="69">
        <v>6</v>
      </c>
      <c r="E132" s="69">
        <v>66</v>
      </c>
      <c r="F132" s="69">
        <v>260</v>
      </c>
      <c r="G132" s="69">
        <v>132</v>
      </c>
      <c r="H132" s="69">
        <v>33</v>
      </c>
      <c r="I132" s="68"/>
      <c r="J132" s="69">
        <v>5</v>
      </c>
      <c r="K132" s="69">
        <v>58</v>
      </c>
      <c r="L132" s="69">
        <v>228</v>
      </c>
      <c r="M132" s="69">
        <v>170</v>
      </c>
      <c r="N132" s="69">
        <v>43</v>
      </c>
      <c r="O132" s="68"/>
      <c r="P132" s="69">
        <v>7</v>
      </c>
      <c r="Q132" s="69">
        <v>75</v>
      </c>
      <c r="R132" s="69">
        <v>294</v>
      </c>
    </row>
    <row r="133" spans="1:18" x14ac:dyDescent="0.25">
      <c r="A133" s="69" t="s">
        <v>120</v>
      </c>
      <c r="B133" s="69">
        <v>159</v>
      </c>
      <c r="C133" s="69">
        <v>40</v>
      </c>
      <c r="D133" s="69">
        <v>6</v>
      </c>
      <c r="E133" s="69">
        <v>70</v>
      </c>
      <c r="F133" s="69">
        <v>275</v>
      </c>
      <c r="G133" s="69">
        <v>138</v>
      </c>
      <c r="H133" s="69">
        <v>34</v>
      </c>
      <c r="I133" s="68"/>
      <c r="J133" s="69">
        <v>6</v>
      </c>
      <c r="K133" s="69">
        <v>60</v>
      </c>
      <c r="L133" s="69">
        <v>238</v>
      </c>
      <c r="M133" s="69">
        <v>181</v>
      </c>
      <c r="N133" s="69">
        <v>45</v>
      </c>
      <c r="O133" s="68"/>
      <c r="P133" s="69">
        <v>7</v>
      </c>
      <c r="Q133" s="69">
        <v>79</v>
      </c>
      <c r="R133" s="69">
        <v>313</v>
      </c>
    </row>
    <row r="134" spans="1:18" x14ac:dyDescent="0.25">
      <c r="A134" s="69" t="s">
        <v>121</v>
      </c>
      <c r="B134" s="69">
        <v>168</v>
      </c>
      <c r="C134" s="69">
        <v>42</v>
      </c>
      <c r="D134" s="69">
        <v>7</v>
      </c>
      <c r="E134" s="69">
        <v>73</v>
      </c>
      <c r="F134" s="69">
        <v>289</v>
      </c>
      <c r="G134" s="69">
        <v>144</v>
      </c>
      <c r="H134" s="69">
        <v>36</v>
      </c>
      <c r="I134" s="68"/>
      <c r="J134" s="69">
        <v>6</v>
      </c>
      <c r="K134" s="69">
        <v>63</v>
      </c>
      <c r="L134" s="69">
        <v>248</v>
      </c>
      <c r="M134" s="69">
        <v>193</v>
      </c>
      <c r="N134" s="69">
        <v>48</v>
      </c>
      <c r="O134" s="68"/>
      <c r="P134" s="69">
        <v>8</v>
      </c>
      <c r="Q134" s="69">
        <v>84</v>
      </c>
      <c r="R134" s="69">
        <v>332</v>
      </c>
    </row>
    <row r="135" spans="1:18" x14ac:dyDescent="0.25">
      <c r="A135" s="69" t="s">
        <v>122</v>
      </c>
      <c r="B135" s="69">
        <v>176</v>
      </c>
      <c r="C135" s="69">
        <v>44</v>
      </c>
      <c r="D135" s="69">
        <v>7</v>
      </c>
      <c r="E135" s="69">
        <v>77</v>
      </c>
      <c r="F135" s="69">
        <v>304</v>
      </c>
      <c r="G135" s="69">
        <v>150</v>
      </c>
      <c r="H135" s="69">
        <v>38</v>
      </c>
      <c r="I135" s="68"/>
      <c r="J135" s="69">
        <v>6</v>
      </c>
      <c r="K135" s="69">
        <v>66</v>
      </c>
      <c r="L135" s="69">
        <v>259</v>
      </c>
      <c r="M135" s="69">
        <v>204</v>
      </c>
      <c r="N135" s="69">
        <v>51</v>
      </c>
      <c r="O135" s="68"/>
      <c r="P135" s="69">
        <v>8</v>
      </c>
      <c r="Q135" s="69">
        <v>89</v>
      </c>
      <c r="R135" s="69">
        <v>352</v>
      </c>
    </row>
    <row r="136" spans="1:18" x14ac:dyDescent="0.25">
      <c r="A136" s="69" t="s">
        <v>123</v>
      </c>
      <c r="B136" s="69">
        <v>185</v>
      </c>
      <c r="C136" s="69">
        <v>46</v>
      </c>
      <c r="D136" s="69">
        <v>7</v>
      </c>
      <c r="E136" s="69">
        <v>81</v>
      </c>
      <c r="F136" s="69">
        <v>320</v>
      </c>
      <c r="G136" s="69">
        <v>156</v>
      </c>
      <c r="H136" s="69">
        <v>39</v>
      </c>
      <c r="I136" s="68"/>
      <c r="J136" s="69">
        <v>6</v>
      </c>
      <c r="K136" s="69">
        <v>68</v>
      </c>
      <c r="L136" s="69">
        <v>270</v>
      </c>
      <c r="M136" s="69">
        <v>216</v>
      </c>
      <c r="N136" s="69">
        <v>54</v>
      </c>
      <c r="O136" s="68"/>
      <c r="P136" s="69">
        <v>9</v>
      </c>
      <c r="Q136" s="69">
        <v>95</v>
      </c>
      <c r="R136" s="69">
        <v>373</v>
      </c>
    </row>
    <row r="137" spans="1:18" x14ac:dyDescent="0.25">
      <c r="A137" s="69" t="s">
        <v>124</v>
      </c>
      <c r="B137" s="69">
        <v>195</v>
      </c>
      <c r="C137" s="69">
        <v>49</v>
      </c>
      <c r="D137" s="69">
        <v>8</v>
      </c>
      <c r="E137" s="69">
        <v>85</v>
      </c>
      <c r="F137" s="69">
        <v>336</v>
      </c>
      <c r="G137" s="69">
        <v>163</v>
      </c>
      <c r="H137" s="69">
        <v>41</v>
      </c>
      <c r="I137" s="68"/>
      <c r="J137" s="69">
        <v>7</v>
      </c>
      <c r="K137" s="69">
        <v>71</v>
      </c>
      <c r="L137" s="69">
        <v>280</v>
      </c>
      <c r="M137" s="69">
        <v>229</v>
      </c>
      <c r="N137" s="69">
        <v>57</v>
      </c>
      <c r="O137" s="68"/>
      <c r="P137" s="69">
        <v>9</v>
      </c>
      <c r="Q137" s="69">
        <v>100</v>
      </c>
      <c r="R137" s="69">
        <v>395</v>
      </c>
    </row>
    <row r="139" spans="1:18" x14ac:dyDescent="0.25">
      <c r="B139" s="69" t="s">
        <v>416</v>
      </c>
      <c r="C139" s="69" t="s">
        <v>417</v>
      </c>
      <c r="D139" s="69" t="s">
        <v>418</v>
      </c>
      <c r="F139" s="69" t="s">
        <v>420</v>
      </c>
    </row>
    <row r="140" spans="1:18" x14ac:dyDescent="0.25">
      <c r="A140" s="69" t="s">
        <v>110</v>
      </c>
      <c r="B140" s="69">
        <v>149</v>
      </c>
      <c r="C140" s="69">
        <v>146</v>
      </c>
      <c r="D140" s="69">
        <v>151</v>
      </c>
      <c r="F140">
        <f>B84+C84+D84</f>
        <v>740</v>
      </c>
    </row>
    <row r="141" spans="1:18" x14ac:dyDescent="0.25">
      <c r="A141" s="69" t="s">
        <v>111</v>
      </c>
      <c r="B141" s="69">
        <v>160</v>
      </c>
      <c r="C141" s="69">
        <v>154</v>
      </c>
      <c r="D141" s="69">
        <v>165</v>
      </c>
      <c r="F141">
        <f t="shared" ref="F141:F154" si="10">B85+C85+D85</f>
        <v>795</v>
      </c>
    </row>
    <row r="142" spans="1:18" x14ac:dyDescent="0.25">
      <c r="A142" s="69" t="s">
        <v>112</v>
      </c>
      <c r="B142" s="69">
        <v>171</v>
      </c>
      <c r="C142" s="69">
        <v>163</v>
      </c>
      <c r="D142" s="69">
        <v>179</v>
      </c>
      <c r="F142">
        <f t="shared" si="10"/>
        <v>852</v>
      </c>
    </row>
    <row r="143" spans="1:18" x14ac:dyDescent="0.25">
      <c r="A143" s="69" t="s">
        <v>113</v>
      </c>
      <c r="B143" s="69">
        <v>183</v>
      </c>
      <c r="C143" s="69">
        <v>172</v>
      </c>
      <c r="D143" s="69">
        <v>194</v>
      </c>
      <c r="F143">
        <f t="shared" si="10"/>
        <v>910</v>
      </c>
    </row>
    <row r="144" spans="1:18" x14ac:dyDescent="0.25">
      <c r="A144" s="69" t="s">
        <v>114</v>
      </c>
      <c r="B144" s="69">
        <v>195</v>
      </c>
      <c r="C144" s="69">
        <v>181</v>
      </c>
      <c r="D144" s="69">
        <v>209</v>
      </c>
      <c r="F144">
        <f t="shared" si="10"/>
        <v>1092</v>
      </c>
    </row>
    <row r="145" spans="1:13" x14ac:dyDescent="0.25">
      <c r="A145" s="69" t="s">
        <v>115</v>
      </c>
      <c r="B145" s="69">
        <v>207</v>
      </c>
      <c r="C145" s="69">
        <v>190</v>
      </c>
      <c r="D145" s="69">
        <v>225</v>
      </c>
      <c r="F145">
        <f t="shared" si="10"/>
        <v>1154</v>
      </c>
    </row>
    <row r="146" spans="1:13" x14ac:dyDescent="0.25">
      <c r="A146" s="69" t="s">
        <v>116</v>
      </c>
      <c r="B146" s="69">
        <v>220</v>
      </c>
      <c r="C146" s="69">
        <v>199</v>
      </c>
      <c r="D146" s="69">
        <v>241</v>
      </c>
      <c r="F146">
        <f t="shared" si="10"/>
        <v>1218</v>
      </c>
    </row>
    <row r="147" spans="1:13" x14ac:dyDescent="0.25">
      <c r="A147" s="69" t="s">
        <v>117</v>
      </c>
      <c r="B147" s="69">
        <v>233</v>
      </c>
      <c r="C147" s="69">
        <v>208</v>
      </c>
      <c r="D147" s="69">
        <v>258</v>
      </c>
      <c r="F147">
        <f t="shared" si="10"/>
        <v>1283</v>
      </c>
    </row>
    <row r="148" spans="1:13" x14ac:dyDescent="0.25">
      <c r="A148" s="69" t="s">
        <v>118</v>
      </c>
      <c r="B148" s="69">
        <v>246</v>
      </c>
      <c r="C148" s="69">
        <v>218</v>
      </c>
      <c r="D148" s="69">
        <v>276</v>
      </c>
      <c r="F148">
        <f t="shared" si="10"/>
        <v>1351</v>
      </c>
    </row>
    <row r="149" spans="1:13" x14ac:dyDescent="0.25">
      <c r="A149" s="69" t="s">
        <v>119</v>
      </c>
      <c r="B149" s="69">
        <v>260</v>
      </c>
      <c r="C149" s="69">
        <v>228</v>
      </c>
      <c r="D149" s="69">
        <v>294</v>
      </c>
      <c r="F149">
        <f t="shared" si="10"/>
        <v>1420</v>
      </c>
    </row>
    <row r="150" spans="1:13" x14ac:dyDescent="0.25">
      <c r="A150" s="69" t="s">
        <v>120</v>
      </c>
      <c r="B150" s="69">
        <v>275</v>
      </c>
      <c r="C150" s="69">
        <v>238</v>
      </c>
      <c r="D150" s="69">
        <v>313</v>
      </c>
      <c r="F150">
        <f t="shared" si="10"/>
        <v>1491</v>
      </c>
    </row>
    <row r="151" spans="1:13" x14ac:dyDescent="0.25">
      <c r="A151" s="69" t="s">
        <v>121</v>
      </c>
      <c r="B151" s="69">
        <v>289</v>
      </c>
      <c r="C151" s="69">
        <v>248</v>
      </c>
      <c r="D151" s="69">
        <v>332</v>
      </c>
      <c r="F151">
        <f t="shared" si="10"/>
        <v>1563</v>
      </c>
    </row>
    <row r="152" spans="1:13" x14ac:dyDescent="0.25">
      <c r="A152" s="69" t="s">
        <v>122</v>
      </c>
      <c r="B152" s="69">
        <v>304</v>
      </c>
      <c r="C152" s="69">
        <v>259</v>
      </c>
      <c r="D152" s="69">
        <v>352</v>
      </c>
      <c r="F152">
        <f t="shared" si="10"/>
        <v>1637</v>
      </c>
    </row>
    <row r="153" spans="1:13" x14ac:dyDescent="0.25">
      <c r="A153" s="69" t="s">
        <v>123</v>
      </c>
      <c r="B153" s="69">
        <v>320</v>
      </c>
      <c r="C153" s="69">
        <v>270</v>
      </c>
      <c r="D153" s="69">
        <v>373</v>
      </c>
      <c r="F153">
        <f t="shared" si="10"/>
        <v>1714</v>
      </c>
    </row>
    <row r="154" spans="1:13" x14ac:dyDescent="0.25">
      <c r="A154" s="69" t="s">
        <v>124</v>
      </c>
      <c r="B154" s="69">
        <v>336</v>
      </c>
      <c r="C154" s="69">
        <v>280</v>
      </c>
      <c r="D154" s="69">
        <v>395</v>
      </c>
      <c r="F154">
        <f t="shared" si="10"/>
        <v>1794</v>
      </c>
    </row>
    <row r="155" spans="1:13" ht="15.75" thickBot="1" x14ac:dyDescent="0.3"/>
    <row r="156" spans="1:13" ht="19.5" thickBot="1" x14ac:dyDescent="0.35">
      <c r="A156" s="126" t="s">
        <v>421</v>
      </c>
      <c r="B156" s="127"/>
      <c r="C156" s="127"/>
      <c r="D156" s="127"/>
      <c r="E156" s="127"/>
      <c r="F156" s="127"/>
      <c r="G156" s="127"/>
      <c r="H156" s="128"/>
    </row>
    <row r="157" spans="1:13" x14ac:dyDescent="0.25">
      <c r="L157">
        <v>2007</v>
      </c>
      <c r="M157" s="81" t="e">
        <f>(C167-C166)/0.01</f>
        <v>#VALUE!</v>
      </c>
    </row>
    <row r="158" spans="1:13" x14ac:dyDescent="0.25">
      <c r="A158" s="68" t="s">
        <v>105</v>
      </c>
      <c r="B158" s="69" t="s">
        <v>199</v>
      </c>
      <c r="C158" s="69" t="s">
        <v>422</v>
      </c>
      <c r="D158" s="69" t="s">
        <v>188</v>
      </c>
      <c r="E158" s="69" t="s">
        <v>423</v>
      </c>
      <c r="G158" s="69" t="s">
        <v>477</v>
      </c>
      <c r="J158" t="s">
        <v>478</v>
      </c>
      <c r="L158">
        <v>2008</v>
      </c>
      <c r="M158" s="81">
        <f t="shared" ref="M158:M159" si="11">(C168-C167)/C167</f>
        <v>0.18530701754385964</v>
      </c>
    </row>
    <row r="159" spans="1:13" x14ac:dyDescent="0.25">
      <c r="A159" s="68" t="s">
        <v>105</v>
      </c>
      <c r="B159" s="68" t="s">
        <v>105</v>
      </c>
      <c r="C159" s="69" t="s">
        <v>424</v>
      </c>
      <c r="D159" s="69" t="s">
        <v>425</v>
      </c>
      <c r="E159" s="68" t="s">
        <v>105</v>
      </c>
      <c r="L159">
        <v>2009</v>
      </c>
      <c r="M159" s="81">
        <f t="shared" si="11"/>
        <v>9.1581868640148015E-2</v>
      </c>
    </row>
    <row r="160" spans="1:13" x14ac:dyDescent="0.25">
      <c r="A160" s="68" t="s">
        <v>105</v>
      </c>
      <c r="B160" s="69" t="s">
        <v>109</v>
      </c>
      <c r="C160" s="69" t="s">
        <v>109</v>
      </c>
      <c r="D160" s="69" t="s">
        <v>109</v>
      </c>
      <c r="E160" s="69" t="s">
        <v>125</v>
      </c>
      <c r="G160">
        <v>2010</v>
      </c>
    </row>
    <row r="161" spans="1:15" x14ac:dyDescent="0.25">
      <c r="A161" s="69" t="s">
        <v>426</v>
      </c>
      <c r="B161" s="69" t="s">
        <v>427</v>
      </c>
      <c r="C161" s="68" t="s">
        <v>105</v>
      </c>
      <c r="D161" s="68" t="s">
        <v>105</v>
      </c>
      <c r="E161" s="69" t="s">
        <v>428</v>
      </c>
      <c r="G161">
        <v>2011</v>
      </c>
      <c r="L161" t="s">
        <v>479</v>
      </c>
      <c r="M161" s="81">
        <f>(M158-M159)/M158</f>
        <v>0.50578305207210061</v>
      </c>
    </row>
    <row r="162" spans="1:15" x14ac:dyDescent="0.25">
      <c r="A162" s="69" t="s">
        <v>429</v>
      </c>
      <c r="B162" s="69" t="s">
        <v>430</v>
      </c>
      <c r="C162" s="68" t="s">
        <v>105</v>
      </c>
      <c r="D162" s="68" t="s">
        <v>105</v>
      </c>
      <c r="E162" s="69" t="s">
        <v>431</v>
      </c>
      <c r="G162">
        <v>2012</v>
      </c>
      <c r="O162" t="s">
        <v>6</v>
      </c>
    </row>
    <row r="163" spans="1:15" x14ac:dyDescent="0.25">
      <c r="A163" s="69" t="s">
        <v>432</v>
      </c>
      <c r="B163" s="69" t="s">
        <v>433</v>
      </c>
      <c r="C163" s="68" t="s">
        <v>105</v>
      </c>
      <c r="D163" s="68" t="s">
        <v>105</v>
      </c>
      <c r="E163" s="69" t="s">
        <v>434</v>
      </c>
      <c r="G163">
        <v>2013</v>
      </c>
      <c r="L163" t="s">
        <v>480</v>
      </c>
      <c r="M163">
        <v>2010</v>
      </c>
      <c r="N163" s="81">
        <f>M159*$M$161</f>
        <v>4.6320557035280263E-2</v>
      </c>
      <c r="O163">
        <f>C169*(1+N163)</f>
        <v>1234.6582573016308</v>
      </c>
    </row>
    <row r="164" spans="1:15" x14ac:dyDescent="0.25">
      <c r="A164" s="69" t="s">
        <v>214</v>
      </c>
      <c r="B164" s="69" t="s">
        <v>435</v>
      </c>
      <c r="C164" s="68" t="s">
        <v>105</v>
      </c>
      <c r="D164" s="68" t="s">
        <v>105</v>
      </c>
      <c r="E164" s="69" t="s">
        <v>436</v>
      </c>
      <c r="G164">
        <v>2014</v>
      </c>
      <c r="M164">
        <v>2011</v>
      </c>
      <c r="N164" s="81">
        <f>N163*$M$161</f>
        <v>2.3428152710983863E-2</v>
      </c>
      <c r="O164">
        <f>O163*(1+N164)</f>
        <v>1263.5840194995706</v>
      </c>
    </row>
    <row r="165" spans="1:15" x14ac:dyDescent="0.25">
      <c r="A165" s="69" t="s">
        <v>215</v>
      </c>
      <c r="B165" s="69" t="s">
        <v>437</v>
      </c>
      <c r="C165" s="68" t="s">
        <v>105</v>
      </c>
      <c r="D165" s="68" t="s">
        <v>105</v>
      </c>
      <c r="E165" s="69" t="s">
        <v>438</v>
      </c>
      <c r="G165">
        <v>2015</v>
      </c>
      <c r="M165">
        <v>2012</v>
      </c>
      <c r="N165" s="81">
        <f t="shared" ref="N165:N178" si="12">N164*$M$161</f>
        <v>1.1849562582572677E-2</v>
      </c>
      <c r="O165">
        <f t="shared" ref="O165:O178" si="13">O164*(1+N165)</f>
        <v>1278.5569374169695</v>
      </c>
    </row>
    <row r="166" spans="1:15" x14ac:dyDescent="0.25">
      <c r="A166" s="69" t="s">
        <v>206</v>
      </c>
      <c r="B166" s="69" t="s">
        <v>439</v>
      </c>
      <c r="C166" s="68" t="s">
        <v>105</v>
      </c>
      <c r="D166" s="68" t="s">
        <v>105</v>
      </c>
      <c r="E166" s="69" t="s">
        <v>440</v>
      </c>
      <c r="G166">
        <v>2016</v>
      </c>
      <c r="M166">
        <v>2013</v>
      </c>
      <c r="N166" s="81">
        <f t="shared" si="12"/>
        <v>5.9933079287329714E-3</v>
      </c>
      <c r="O166">
        <f t="shared" si="13"/>
        <v>1286.2197228473271</v>
      </c>
    </row>
    <row r="167" spans="1:15" x14ac:dyDescent="0.25">
      <c r="A167" s="69" t="s">
        <v>207</v>
      </c>
      <c r="B167" s="69" t="s">
        <v>441</v>
      </c>
      <c r="C167" s="69" t="s">
        <v>242</v>
      </c>
      <c r="D167" s="69" t="s">
        <v>442</v>
      </c>
      <c r="E167" s="69" t="s">
        <v>443</v>
      </c>
      <c r="G167">
        <v>2017</v>
      </c>
      <c r="M167">
        <v>2014</v>
      </c>
      <c r="N167" s="81">
        <f t="shared" si="12"/>
        <v>3.0313135762024819E-3</v>
      </c>
      <c r="O167">
        <f t="shared" si="13"/>
        <v>1290.1186581551738</v>
      </c>
    </row>
    <row r="168" spans="1:15" x14ac:dyDescent="0.25">
      <c r="A168" s="69" t="s">
        <v>209</v>
      </c>
      <c r="B168" s="69" t="s">
        <v>444</v>
      </c>
      <c r="C168" s="69" t="s">
        <v>445</v>
      </c>
      <c r="D168" s="69" t="s">
        <v>446</v>
      </c>
      <c r="E168" s="69" t="s">
        <v>447</v>
      </c>
      <c r="G168">
        <v>2018</v>
      </c>
      <c r="M168">
        <v>2015</v>
      </c>
      <c r="N168" s="81">
        <f t="shared" si="12"/>
        <v>1.5331870323592855E-3</v>
      </c>
      <c r="O168">
        <f t="shared" si="13"/>
        <v>1292.0966513520621</v>
      </c>
    </row>
    <row r="169" spans="1:15" x14ac:dyDescent="0.25">
      <c r="A169" s="69" t="s">
        <v>210</v>
      </c>
      <c r="B169" s="69" t="s">
        <v>448</v>
      </c>
      <c r="C169" s="69" t="s">
        <v>449</v>
      </c>
      <c r="D169" s="69" t="s">
        <v>450</v>
      </c>
      <c r="E169" s="69" t="s">
        <v>451</v>
      </c>
      <c r="G169">
        <v>2019</v>
      </c>
      <c r="M169">
        <v>2016</v>
      </c>
      <c r="N169" s="81">
        <f t="shared" si="12"/>
        <v>7.7546001662404595E-4</v>
      </c>
      <c r="O169">
        <f t="shared" si="13"/>
        <v>1293.0986206427995</v>
      </c>
    </row>
    <row r="170" spans="1:15" x14ac:dyDescent="0.25">
      <c r="G170">
        <v>2020</v>
      </c>
      <c r="M170">
        <v>2017</v>
      </c>
      <c r="N170" s="81">
        <f t="shared" si="12"/>
        <v>3.9221453396799183E-4</v>
      </c>
      <c r="O170">
        <f t="shared" si="13"/>
        <v>1293.6057927156696</v>
      </c>
    </row>
    <row r="171" spans="1:15" x14ac:dyDescent="0.25">
      <c r="G171">
        <v>2021</v>
      </c>
      <c r="M171">
        <v>2018</v>
      </c>
      <c r="N171" s="81">
        <f t="shared" si="12"/>
        <v>1.9837546405736749E-4</v>
      </c>
      <c r="O171">
        <f t="shared" si="13"/>
        <v>1293.8624123651068</v>
      </c>
    </row>
    <row r="172" spans="1:15" x14ac:dyDescent="0.25">
      <c r="G172">
        <v>2022</v>
      </c>
      <c r="M172">
        <v>2019</v>
      </c>
      <c r="N172" s="81">
        <f t="shared" si="12"/>
        <v>1.0033494766715462E-4</v>
      </c>
      <c r="O172">
        <f t="shared" si="13"/>
        <v>1293.99223198254</v>
      </c>
    </row>
    <row r="173" spans="1:15" x14ac:dyDescent="0.25">
      <c r="G173">
        <v>2023</v>
      </c>
      <c r="M173">
        <v>2020</v>
      </c>
      <c r="N173" s="81">
        <f t="shared" si="12"/>
        <v>5.0747716060587954E-5</v>
      </c>
      <c r="O173">
        <f t="shared" si="13"/>
        <v>1294.0578991329132</v>
      </c>
    </row>
    <row r="174" spans="1:15" x14ac:dyDescent="0.25">
      <c r="G174">
        <v>2024</v>
      </c>
      <c r="M174">
        <v>2021</v>
      </c>
      <c r="N174" s="81">
        <f t="shared" si="12"/>
        <v>2.5667334714812534E-5</v>
      </c>
      <c r="O174">
        <f t="shared" si="13"/>
        <v>1294.0911141501506</v>
      </c>
    </row>
    <row r="175" spans="1:15" x14ac:dyDescent="0.25">
      <c r="G175">
        <v>2025</v>
      </c>
      <c r="M175">
        <v>2022</v>
      </c>
      <c r="N175" s="81">
        <f t="shared" si="12"/>
        <v>1.2982102890614064E-5</v>
      </c>
      <c r="O175">
        <f t="shared" si="13"/>
        <v>1294.1079141741445</v>
      </c>
    </row>
    <row r="176" spans="1:15" x14ac:dyDescent="0.25">
      <c r="M176">
        <v>2023</v>
      </c>
      <c r="N176" s="81">
        <f t="shared" si="12"/>
        <v>6.5661276223288209E-6</v>
      </c>
      <c r="O176">
        <f t="shared" si="13"/>
        <v>1294.116411451866</v>
      </c>
    </row>
    <row r="177" spans="13:15" x14ac:dyDescent="0.25">
      <c r="M177">
        <v>2024</v>
      </c>
      <c r="N177" s="81">
        <f t="shared" si="12"/>
        <v>3.3210360691163962E-6</v>
      </c>
      <c r="O177">
        <f t="shared" si="13"/>
        <v>1294.120709259146</v>
      </c>
    </row>
    <row r="178" spans="13:15" x14ac:dyDescent="0.25">
      <c r="M178">
        <v>2025</v>
      </c>
      <c r="N178" s="81">
        <f t="shared" si="12"/>
        <v>1.6797237590792227E-6</v>
      </c>
      <c r="O178">
        <f t="shared" si="13"/>
        <v>1294.1228830244484</v>
      </c>
    </row>
  </sheetData>
  <mergeCells count="14">
    <mergeCell ref="A156:H156"/>
    <mergeCell ref="A45:D45"/>
    <mergeCell ref="A61:D61"/>
    <mergeCell ref="A78:D78"/>
    <mergeCell ref="B80:F80"/>
    <mergeCell ref="G80:K80"/>
    <mergeCell ref="A1:E1"/>
    <mergeCell ref="L80:P80"/>
    <mergeCell ref="B119:F119"/>
    <mergeCell ref="M119:R119"/>
    <mergeCell ref="G119:L119"/>
    <mergeCell ref="F3:G3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CV500"/>
  <sheetViews>
    <sheetView zoomScaleNormal="100" workbookViewId="0">
      <pane xSplit="2" ySplit="4" topLeftCell="BR7" activePane="bottomRight" state="frozen"/>
      <selection pane="topRight" activeCell="C1" sqref="C1"/>
      <selection pane="bottomLeft" activeCell="A5" sqref="A5"/>
      <selection pane="bottomRight" activeCell="CG16" sqref="CG16"/>
    </sheetView>
  </sheetViews>
  <sheetFormatPr defaultRowHeight="15" x14ac:dyDescent="0.25"/>
  <cols>
    <col min="2" max="2" width="4.5703125" customWidth="1"/>
    <col min="6" max="6" width="7.5703125" bestFit="1" customWidth="1"/>
    <col min="13" max="13" width="9.140625" style="94"/>
    <col min="14" max="14" width="8.42578125" bestFit="1" customWidth="1"/>
    <col min="26" max="27" width="9.5703125" bestFit="1" customWidth="1"/>
    <col min="39" max="39" width="11.5703125" bestFit="1" customWidth="1"/>
    <col min="40" max="40" width="12" bestFit="1" customWidth="1"/>
  </cols>
  <sheetData>
    <row r="1" spans="1:99" x14ac:dyDescent="0.25">
      <c r="A1">
        <v>0</v>
      </c>
      <c r="B1">
        <f>A1+1</f>
        <v>1</v>
      </c>
      <c r="C1">
        <f t="shared" ref="C1:AK2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 s="98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X1" t="s">
        <v>547</v>
      </c>
      <c r="Y1" s="94">
        <f ca="1">OFFSET($P$4,Y$2*18+$T5-2010,$X$2)</f>
        <v>0.22539172358376858</v>
      </c>
      <c r="Z1" s="94">
        <f t="shared" ref="Z1:AK1" ca="1" si="1">OFFSET($P$4,Z$2*18+$T5-2010,$X$2)</f>
        <v>0.34</v>
      </c>
      <c r="AA1" s="94">
        <f ca="1">Z1</f>
        <v>0.34</v>
      </c>
      <c r="AB1" s="94">
        <f ca="1">Z1</f>
        <v>0.34</v>
      </c>
      <c r="AC1" s="94">
        <f ca="1">Z1</f>
        <v>0.34</v>
      </c>
      <c r="AD1" s="94">
        <f ca="1">AC1</f>
        <v>0.34</v>
      </c>
      <c r="AE1" s="94">
        <f t="shared" ca="1" si="1"/>
        <v>0.21700000000000008</v>
      </c>
      <c r="AF1" s="94">
        <f t="shared" ca="1" si="1"/>
        <v>0.22099999999999997</v>
      </c>
      <c r="AG1" s="94">
        <f t="shared" ca="1" si="1"/>
        <v>0.22099999999999997</v>
      </c>
      <c r="AH1" s="94">
        <f t="shared" ca="1" si="1"/>
        <v>0.22099999999999997</v>
      </c>
      <c r="AI1" s="94">
        <f t="shared" ca="1" si="1"/>
        <v>0.15402843601895733</v>
      </c>
      <c r="AJ1" s="94">
        <f t="shared" ca="1" si="1"/>
        <v>0.158</v>
      </c>
      <c r="AK1" s="94">
        <f t="shared" ca="1" si="1"/>
        <v>0.158</v>
      </c>
      <c r="BC1" t="s">
        <v>541</v>
      </c>
      <c r="BD1">
        <v>0</v>
      </c>
      <c r="BE1">
        <v>0</v>
      </c>
      <c r="BF1">
        <v>1</v>
      </c>
      <c r="BG1">
        <v>1</v>
      </c>
      <c r="BH1">
        <v>1</v>
      </c>
      <c r="BI1">
        <v>1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</row>
    <row r="2" spans="1:99" x14ac:dyDescent="0.25">
      <c r="X2" s="93">
        <v>0</v>
      </c>
      <c r="Y2">
        <v>0</v>
      </c>
      <c r="Z2">
        <f>Y2+1</f>
        <v>1</v>
      </c>
      <c r="AA2">
        <f t="shared" si="0"/>
        <v>2</v>
      </c>
      <c r="AB2">
        <f t="shared" si="0"/>
        <v>3</v>
      </c>
      <c r="AC2">
        <f t="shared" si="0"/>
        <v>4</v>
      </c>
      <c r="AD2">
        <f t="shared" si="0"/>
        <v>5</v>
      </c>
      <c r="AE2">
        <f t="shared" si="0"/>
        <v>6</v>
      </c>
      <c r="AF2">
        <f t="shared" si="0"/>
        <v>7</v>
      </c>
      <c r="AG2">
        <f t="shared" si="0"/>
        <v>8</v>
      </c>
      <c r="AH2">
        <f t="shared" si="0"/>
        <v>9</v>
      </c>
      <c r="AI2">
        <f t="shared" si="0"/>
        <v>10</v>
      </c>
      <c r="AJ2">
        <f t="shared" si="0"/>
        <v>11</v>
      </c>
      <c r="AK2">
        <f t="shared" si="0"/>
        <v>12</v>
      </c>
      <c r="AL2">
        <f>AK2+1</f>
        <v>13</v>
      </c>
      <c r="AM2">
        <f t="shared" ref="AM2" si="2">AL2+1</f>
        <v>14</v>
      </c>
      <c r="AN2">
        <f t="shared" ref="AN2" si="3">AM2+1</f>
        <v>15</v>
      </c>
      <c r="BC2" s="113">
        <f>X2</f>
        <v>0</v>
      </c>
      <c r="BD2">
        <f>Y2</f>
        <v>0</v>
      </c>
      <c r="BE2">
        <f t="shared" ref="BE2:BP4" si="4">Z2</f>
        <v>1</v>
      </c>
      <c r="BF2">
        <f t="shared" si="4"/>
        <v>2</v>
      </c>
      <c r="BG2">
        <f t="shared" si="4"/>
        <v>3</v>
      </c>
      <c r="BH2">
        <f t="shared" si="4"/>
        <v>4</v>
      </c>
      <c r="BI2">
        <f t="shared" si="4"/>
        <v>5</v>
      </c>
      <c r="BJ2">
        <f t="shared" si="4"/>
        <v>6</v>
      </c>
      <c r="BK2">
        <f t="shared" si="4"/>
        <v>7</v>
      </c>
      <c r="BL2">
        <f t="shared" si="4"/>
        <v>8</v>
      </c>
      <c r="BM2">
        <f t="shared" si="4"/>
        <v>9</v>
      </c>
      <c r="BN2">
        <f t="shared" si="4"/>
        <v>10</v>
      </c>
      <c r="BO2">
        <f t="shared" si="4"/>
        <v>11</v>
      </c>
      <c r="BP2">
        <f t="shared" si="4"/>
        <v>12</v>
      </c>
    </row>
    <row r="3" spans="1:99" s="71" customFormat="1" ht="30" customHeight="1" x14ac:dyDescent="0.25">
      <c r="C3" s="75" t="s">
        <v>105</v>
      </c>
      <c r="D3" s="109" t="s">
        <v>493</v>
      </c>
      <c r="E3" s="109" t="s">
        <v>494</v>
      </c>
      <c r="F3" s="76" t="s">
        <v>152</v>
      </c>
      <c r="I3" s="75" t="s">
        <v>105</v>
      </c>
      <c r="J3" s="109" t="s">
        <v>493</v>
      </c>
      <c r="K3" s="109" t="s">
        <v>494</v>
      </c>
      <c r="L3" s="76" t="s">
        <v>152</v>
      </c>
      <c r="M3" s="96"/>
      <c r="N3" s="71" t="s">
        <v>148</v>
      </c>
      <c r="O3" s="71" t="s">
        <v>149</v>
      </c>
      <c r="P3" s="71" t="s">
        <v>147</v>
      </c>
      <c r="Q3" s="71" t="s">
        <v>156</v>
      </c>
      <c r="R3" s="71" t="s">
        <v>159</v>
      </c>
      <c r="T3" s="78" t="s">
        <v>154</v>
      </c>
      <c r="X3" s="71" t="s">
        <v>538</v>
      </c>
      <c r="Y3" s="71" t="s">
        <v>84</v>
      </c>
      <c r="Z3" s="71" t="s">
        <v>69</v>
      </c>
      <c r="AA3" s="71" t="s">
        <v>75</v>
      </c>
      <c r="AB3" s="71" t="s">
        <v>73</v>
      </c>
      <c r="AC3" s="71" t="s">
        <v>86</v>
      </c>
      <c r="AD3" s="71" t="s">
        <v>77</v>
      </c>
      <c r="AE3" s="71" t="s">
        <v>29</v>
      </c>
      <c r="AF3" s="71" t="s">
        <v>62</v>
      </c>
      <c r="AG3" s="71" t="s">
        <v>71</v>
      </c>
      <c r="AH3" s="71" t="s">
        <v>197</v>
      </c>
      <c r="AI3" s="71" t="s">
        <v>64</v>
      </c>
      <c r="AJ3" s="71" t="s">
        <v>80</v>
      </c>
      <c r="AK3" s="71" t="s">
        <v>82</v>
      </c>
      <c r="AN3" s="71" t="s">
        <v>539</v>
      </c>
      <c r="AO3" s="71" t="s">
        <v>84</v>
      </c>
      <c r="AP3" s="71" t="s">
        <v>69</v>
      </c>
      <c r="AQ3" s="71" t="s">
        <v>75</v>
      </c>
      <c r="AR3" s="71" t="s">
        <v>73</v>
      </c>
      <c r="AS3" s="71" t="s">
        <v>86</v>
      </c>
      <c r="AT3" s="71" t="s">
        <v>77</v>
      </c>
      <c r="AU3" s="71" t="s">
        <v>29</v>
      </c>
      <c r="AV3" s="71" t="s">
        <v>62</v>
      </c>
      <c r="AW3" s="71" t="s">
        <v>71</v>
      </c>
      <c r="AX3" s="71" t="s">
        <v>197</v>
      </c>
      <c r="AY3" s="71" t="s">
        <v>64</v>
      </c>
      <c r="AZ3" s="71" t="s">
        <v>80</v>
      </c>
      <c r="BA3" s="71" t="s">
        <v>82</v>
      </c>
      <c r="BC3" s="71" t="s">
        <v>540</v>
      </c>
      <c r="BD3" s="71" t="str">
        <f>Y3</f>
        <v>SEN</v>
      </c>
      <c r="BE3" s="71" t="str">
        <f t="shared" si="4"/>
        <v>GAM</v>
      </c>
      <c r="BF3" s="71" t="str">
        <f t="shared" si="4"/>
        <v>GBI</v>
      </c>
      <c r="BG3" s="71" t="str">
        <f t="shared" si="4"/>
        <v>GUI</v>
      </c>
      <c r="BH3" s="71" t="str">
        <f t="shared" si="4"/>
        <v>SIE</v>
      </c>
      <c r="BI3" s="71" t="str">
        <f t="shared" si="4"/>
        <v>LIB</v>
      </c>
      <c r="BJ3" s="71" t="str">
        <f t="shared" si="4"/>
        <v>MAL</v>
      </c>
      <c r="BK3" s="71" t="str">
        <f t="shared" si="4"/>
        <v>CIV</v>
      </c>
      <c r="BL3" s="71" t="str">
        <f t="shared" si="4"/>
        <v>GHA</v>
      </c>
      <c r="BM3" s="71" t="str">
        <f t="shared" si="4"/>
        <v>TBN</v>
      </c>
      <c r="BN3" s="71" t="str">
        <f t="shared" si="4"/>
        <v>BUR</v>
      </c>
      <c r="BO3" s="71" t="str">
        <f t="shared" si="4"/>
        <v>NIG</v>
      </c>
      <c r="BP3" s="71" t="str">
        <f t="shared" si="4"/>
        <v>NGA</v>
      </c>
      <c r="BS3" s="71" t="s">
        <v>542</v>
      </c>
      <c r="BT3" s="71" t="str">
        <f>BD3</f>
        <v>SEN</v>
      </c>
      <c r="BU3" s="71" t="str">
        <f t="shared" ref="BU3:CE4" si="5">BE3</f>
        <v>GAM</v>
      </c>
      <c r="BV3" s="71" t="str">
        <f t="shared" si="5"/>
        <v>GBI</v>
      </c>
      <c r="BW3" s="71" t="str">
        <f t="shared" si="5"/>
        <v>GUI</v>
      </c>
      <c r="BX3" s="71" t="str">
        <f t="shared" si="5"/>
        <v>SIE</v>
      </c>
      <c r="BY3" s="71" t="str">
        <f t="shared" si="5"/>
        <v>LIB</v>
      </c>
      <c r="BZ3" s="71" t="str">
        <f t="shared" si="5"/>
        <v>MAL</v>
      </c>
      <c r="CA3" s="71" t="str">
        <f t="shared" si="5"/>
        <v>CIV</v>
      </c>
      <c r="CB3" s="71" t="str">
        <f t="shared" si="5"/>
        <v>GHA</v>
      </c>
      <c r="CC3" s="71" t="str">
        <f t="shared" si="5"/>
        <v>TBN</v>
      </c>
      <c r="CD3" s="71" t="str">
        <f t="shared" si="5"/>
        <v>BUR</v>
      </c>
      <c r="CE3" s="71" t="str">
        <f t="shared" si="5"/>
        <v>NIG</v>
      </c>
      <c r="CF3" s="71" t="str">
        <f>BP3</f>
        <v>NGA</v>
      </c>
    </row>
    <row r="4" spans="1:99" ht="30" x14ac:dyDescent="0.25">
      <c r="A4" s="108" t="s">
        <v>83</v>
      </c>
      <c r="C4" s="68" t="s">
        <v>105</v>
      </c>
      <c r="D4" s="69" t="s">
        <v>109</v>
      </c>
      <c r="E4" s="69" t="s">
        <v>109</v>
      </c>
      <c r="F4" s="69" t="s">
        <v>109</v>
      </c>
      <c r="I4" s="68" t="s">
        <v>105</v>
      </c>
      <c r="J4" s="69" t="s">
        <v>125</v>
      </c>
      <c r="K4" s="69" t="s">
        <v>125</v>
      </c>
      <c r="L4" s="69" t="s">
        <v>125</v>
      </c>
      <c r="M4" s="97"/>
      <c r="N4" s="69" t="s">
        <v>109</v>
      </c>
      <c r="O4" s="69" t="s">
        <v>125</v>
      </c>
      <c r="P4" s="69" t="s">
        <v>11</v>
      </c>
      <c r="Q4" s="69" t="s">
        <v>157</v>
      </c>
      <c r="R4" s="69" t="s">
        <v>157</v>
      </c>
      <c r="S4" s="69"/>
      <c r="T4" s="69"/>
      <c r="U4" s="69" t="s">
        <v>157</v>
      </c>
      <c r="X4" s="85" t="s">
        <v>1</v>
      </c>
      <c r="Y4" s="108" t="str">
        <f ca="1">OFFSET($A$4,Y2*18,0)</f>
        <v>Senegal</v>
      </c>
      <c r="Z4" t="str">
        <f t="shared" ref="Z4:AK4" ca="1" si="6">OFFSET($A$4,Z2*18,0)</f>
        <v>Gambia</v>
      </c>
      <c r="AA4" t="str">
        <f t="shared" ca="1" si="6"/>
        <v>Guinée Bissau</v>
      </c>
      <c r="AB4" t="str">
        <f t="shared" ca="1" si="6"/>
        <v>Guinea</v>
      </c>
      <c r="AC4" t="str">
        <f t="shared" ca="1" si="6"/>
        <v>Sierra Leone</v>
      </c>
      <c r="AD4" t="str">
        <f t="shared" ca="1" si="6"/>
        <v>Liberia</v>
      </c>
      <c r="AE4" t="str">
        <f t="shared" ca="1" si="6"/>
        <v>Mali</v>
      </c>
      <c r="AF4" t="str">
        <f t="shared" ca="1" si="6"/>
        <v>Ivory Coast</v>
      </c>
      <c r="AG4" t="str">
        <f t="shared" ca="1" si="6"/>
        <v>Ghana</v>
      </c>
      <c r="AH4" t="str">
        <f t="shared" ca="1" si="6"/>
        <v>Togo/Benin</v>
      </c>
      <c r="AI4" t="str">
        <f t="shared" ca="1" si="6"/>
        <v>Burkina</v>
      </c>
      <c r="AJ4" t="str">
        <f t="shared" ca="1" si="6"/>
        <v>Niger</v>
      </c>
      <c r="AK4" t="str">
        <f t="shared" ca="1" si="6"/>
        <v>Nigeria</v>
      </c>
      <c r="AL4" s="85" t="s">
        <v>481</v>
      </c>
      <c r="AO4" t="str">
        <f ca="1">Y4</f>
        <v>Senegal</v>
      </c>
      <c r="AP4" t="str">
        <f t="shared" ref="AP4:BA4" ca="1" si="7">Z4</f>
        <v>Gambia</v>
      </c>
      <c r="AQ4" t="str">
        <f t="shared" ca="1" si="7"/>
        <v>Guinée Bissau</v>
      </c>
      <c r="AR4" t="str">
        <f t="shared" ca="1" si="7"/>
        <v>Guinea</v>
      </c>
      <c r="AS4" t="str">
        <f t="shared" ca="1" si="7"/>
        <v>Sierra Leone</v>
      </c>
      <c r="AT4" t="str">
        <f t="shared" ca="1" si="7"/>
        <v>Liberia</v>
      </c>
      <c r="AU4" t="str">
        <f t="shared" ca="1" si="7"/>
        <v>Mali</v>
      </c>
      <c r="AV4" t="str">
        <f t="shared" ca="1" si="7"/>
        <v>Ivory Coast</v>
      </c>
      <c r="AW4" t="str">
        <f t="shared" ca="1" si="7"/>
        <v>Ghana</v>
      </c>
      <c r="AX4" t="str">
        <f t="shared" ca="1" si="7"/>
        <v>Togo/Benin</v>
      </c>
      <c r="AY4" t="str">
        <f t="shared" ca="1" si="7"/>
        <v>Burkina</v>
      </c>
      <c r="AZ4" t="str">
        <f t="shared" ca="1" si="7"/>
        <v>Niger</v>
      </c>
      <c r="BA4" t="str">
        <f t="shared" ca="1" si="7"/>
        <v>Nigeria</v>
      </c>
      <c r="BC4" t="str">
        <f>X4</f>
        <v>GWh</v>
      </c>
      <c r="BD4" t="str">
        <f ca="1">Y4</f>
        <v>Senegal</v>
      </c>
      <c r="BE4" t="str">
        <f t="shared" ca="1" si="4"/>
        <v>Gambia</v>
      </c>
      <c r="BF4" t="str">
        <f t="shared" ca="1" si="4"/>
        <v>Guinée Bissau</v>
      </c>
      <c r="BG4" t="str">
        <f t="shared" ca="1" si="4"/>
        <v>Guinea</v>
      </c>
      <c r="BH4" t="str">
        <f t="shared" ca="1" si="4"/>
        <v>Sierra Leone</v>
      </c>
      <c r="BI4" t="str">
        <f t="shared" ca="1" si="4"/>
        <v>Liberia</v>
      </c>
      <c r="BJ4" t="str">
        <f t="shared" ca="1" si="4"/>
        <v>Mali</v>
      </c>
      <c r="BK4" t="str">
        <f t="shared" ca="1" si="4"/>
        <v>Ivory Coast</v>
      </c>
      <c r="BL4" t="str">
        <f t="shared" ca="1" si="4"/>
        <v>Ghana</v>
      </c>
      <c r="BM4" t="str">
        <f t="shared" ca="1" si="4"/>
        <v>Togo/Benin</v>
      </c>
      <c r="BN4" t="str">
        <f t="shared" ca="1" si="4"/>
        <v>Burkina</v>
      </c>
      <c r="BO4" t="str">
        <f t="shared" ca="1" si="4"/>
        <v>Niger</v>
      </c>
      <c r="BP4" t="str">
        <f t="shared" ca="1" si="4"/>
        <v>Nigeria</v>
      </c>
      <c r="BQ4" t="str">
        <f>AL4</f>
        <v>Sum</v>
      </c>
      <c r="BS4" t="str">
        <f>BC4</f>
        <v>GWh</v>
      </c>
      <c r="BT4" s="71" t="str">
        <f ca="1">BD4</f>
        <v>Senegal</v>
      </c>
      <c r="BU4" s="71" t="str">
        <f t="shared" ca="1" si="5"/>
        <v>Gambia</v>
      </c>
      <c r="BV4" s="71" t="str">
        <f t="shared" ca="1" si="5"/>
        <v>Guinée Bissau</v>
      </c>
      <c r="BW4" s="71" t="str">
        <f t="shared" ca="1" si="5"/>
        <v>Guinea</v>
      </c>
      <c r="BX4" s="71" t="str">
        <f t="shared" ca="1" si="5"/>
        <v>Sierra Leone</v>
      </c>
      <c r="BY4" s="71" t="str">
        <f t="shared" ca="1" si="5"/>
        <v>Liberia</v>
      </c>
      <c r="BZ4" s="71" t="str">
        <f t="shared" ca="1" si="5"/>
        <v>Mali</v>
      </c>
      <c r="CA4" s="71" t="str">
        <f t="shared" ca="1" si="5"/>
        <v>Ivory Coast</v>
      </c>
      <c r="CB4" s="71" t="str">
        <f t="shared" ca="1" si="5"/>
        <v>Ghana</v>
      </c>
      <c r="CC4" s="71" t="str">
        <f t="shared" ca="1" si="5"/>
        <v>Togo/Benin</v>
      </c>
      <c r="CD4" s="71" t="str">
        <f t="shared" ca="1" si="5"/>
        <v>Burkina</v>
      </c>
      <c r="CE4" s="71" t="str">
        <f t="shared" ca="1" si="5"/>
        <v>Niger</v>
      </c>
      <c r="CF4" s="71" t="str">
        <f ca="1">BP4</f>
        <v>Nigeria</v>
      </c>
      <c r="CG4" s="71" t="str">
        <f>BQ4</f>
        <v>Sum</v>
      </c>
      <c r="CI4" s="71" t="str">
        <f ca="1">BT4</f>
        <v>Senegal</v>
      </c>
      <c r="CJ4" s="71" t="str">
        <f t="shared" ref="CJ4:CU4" ca="1" si="8">BU4</f>
        <v>Gambia</v>
      </c>
      <c r="CK4" s="71" t="str">
        <f t="shared" ca="1" si="8"/>
        <v>Guinée Bissau</v>
      </c>
      <c r="CL4" s="71" t="str">
        <f t="shared" ca="1" si="8"/>
        <v>Guinea</v>
      </c>
      <c r="CM4" s="71" t="str">
        <f t="shared" ca="1" si="8"/>
        <v>Sierra Leone</v>
      </c>
      <c r="CN4" s="71" t="str">
        <f t="shared" ca="1" si="8"/>
        <v>Liberia</v>
      </c>
      <c r="CO4" s="71" t="str">
        <f t="shared" ca="1" si="8"/>
        <v>Mali</v>
      </c>
      <c r="CP4" s="71" t="str">
        <f t="shared" ca="1" si="8"/>
        <v>Ivory Coast</v>
      </c>
      <c r="CQ4" s="71" t="str">
        <f t="shared" ca="1" si="8"/>
        <v>Ghana</v>
      </c>
      <c r="CR4" s="71" t="str">
        <f t="shared" ca="1" si="8"/>
        <v>Togo/Benin</v>
      </c>
      <c r="CS4" s="71" t="str">
        <f t="shared" ca="1" si="8"/>
        <v>Burkina</v>
      </c>
      <c r="CT4" s="71" t="str">
        <f t="shared" ca="1" si="8"/>
        <v>Niger</v>
      </c>
      <c r="CU4" s="71" t="str">
        <f t="shared" ca="1" si="8"/>
        <v>Nigeria</v>
      </c>
    </row>
    <row r="5" spans="1:99" x14ac:dyDescent="0.25">
      <c r="A5" t="str">
        <f>VLOOKUP(A4,General!$A$9:$B$23,2,FALSE)</f>
        <v>SEN</v>
      </c>
      <c r="B5">
        <v>1</v>
      </c>
      <c r="C5" s="89">
        <v>2011</v>
      </c>
      <c r="D5" s="69">
        <v>2654</v>
      </c>
      <c r="E5" s="69">
        <v>2561</v>
      </c>
      <c r="F5" s="69">
        <v>2726</v>
      </c>
      <c r="I5" s="89">
        <v>2011</v>
      </c>
      <c r="J5" s="69">
        <v>456</v>
      </c>
      <c r="K5" s="69">
        <v>440</v>
      </c>
      <c r="L5" s="69">
        <v>468</v>
      </c>
      <c r="M5" s="97">
        <f>N5/(O5*8.76)</f>
        <v>0.64778884265536285</v>
      </c>
      <c r="N5" s="70">
        <f>(2427+E5)/2</f>
        <v>2494</v>
      </c>
      <c r="O5" s="70">
        <f>(423+J5)/2</f>
        <v>439.5</v>
      </c>
      <c r="P5" s="91">
        <f>1-(1928/(1895+594))</f>
        <v>0.22539172358376858</v>
      </c>
      <c r="Q5" s="70"/>
      <c r="R5" s="70"/>
      <c r="S5" s="79"/>
      <c r="T5" s="69" t="s">
        <v>110</v>
      </c>
      <c r="U5">
        <v>0</v>
      </c>
      <c r="X5" s="85">
        <v>2010</v>
      </c>
      <c r="Y5" s="122">
        <f>N5</f>
        <v>2494</v>
      </c>
      <c r="Z5" s="123">
        <f>N23</f>
        <v>219</v>
      </c>
      <c r="AA5" s="123">
        <f>N41</f>
        <v>141</v>
      </c>
      <c r="AB5" s="123">
        <f>N59</f>
        <v>608</v>
      </c>
      <c r="AC5" s="123">
        <f>N77</f>
        <v>162</v>
      </c>
      <c r="AD5" s="123">
        <f>N95</f>
        <v>34</v>
      </c>
      <c r="AE5" s="123">
        <f>N113</f>
        <v>1098</v>
      </c>
      <c r="AF5" s="123">
        <f>N131</f>
        <v>5813.5</v>
      </c>
      <c r="AG5" s="123">
        <f>N149</f>
        <v>8365</v>
      </c>
      <c r="AH5" s="123">
        <f>N167</f>
        <v>2083</v>
      </c>
      <c r="AI5" s="123">
        <f>N185</f>
        <v>858.5</v>
      </c>
      <c r="AJ5" s="123">
        <f>N203</f>
        <v>835</v>
      </c>
      <c r="AK5" s="123">
        <f>N221</f>
        <v>23178.5</v>
      </c>
      <c r="AL5" s="84">
        <f>SUM(Y5:AK5)</f>
        <v>45889.5</v>
      </c>
      <c r="BC5">
        <f t="shared" ref="BC5:BC28" si="9">X5</f>
        <v>2010</v>
      </c>
      <c r="BD5" s="84">
        <f ca="1">BD6</f>
        <v>0</v>
      </c>
      <c r="BE5" s="84">
        <f t="shared" ref="BE5:BQ5" ca="1" si="10">BE6</f>
        <v>0</v>
      </c>
      <c r="BF5" s="84">
        <f t="shared" ca="1" si="10"/>
        <v>0</v>
      </c>
      <c r="BG5" s="84">
        <f t="shared" ca="1" si="10"/>
        <v>0</v>
      </c>
      <c r="BH5" s="84">
        <f>H77</f>
        <v>0</v>
      </c>
      <c r="BI5" s="84">
        <f t="shared" ca="1" si="10"/>
        <v>0</v>
      </c>
      <c r="BJ5" s="84">
        <f t="shared" ca="1" si="10"/>
        <v>0</v>
      </c>
      <c r="BK5" s="84">
        <f t="shared" ca="1" si="10"/>
        <v>0</v>
      </c>
      <c r="BL5" s="84">
        <f>H149</f>
        <v>657</v>
      </c>
      <c r="BM5" s="84">
        <f t="shared" ca="1" si="10"/>
        <v>0</v>
      </c>
      <c r="BN5" s="84">
        <f t="shared" ca="1" si="10"/>
        <v>0</v>
      </c>
      <c r="BO5" s="84">
        <f t="shared" ca="1" si="10"/>
        <v>0</v>
      </c>
      <c r="BP5" s="84">
        <f t="shared" ca="1" si="10"/>
        <v>0</v>
      </c>
      <c r="BQ5" s="84">
        <f t="shared" ca="1" si="10"/>
        <v>1664</v>
      </c>
      <c r="BS5">
        <v>2010</v>
      </c>
      <c r="BT5" s="124">
        <f ca="1">BD5+Y5</f>
        <v>2494</v>
      </c>
      <c r="BU5" s="124">
        <f t="shared" ref="BU5:CG5" ca="1" si="11">BE5+Z5</f>
        <v>219</v>
      </c>
      <c r="BV5" s="124">
        <f t="shared" ca="1" si="11"/>
        <v>141</v>
      </c>
      <c r="BW5" s="124">
        <f t="shared" ca="1" si="11"/>
        <v>608</v>
      </c>
      <c r="BX5" s="124">
        <f t="shared" si="11"/>
        <v>162</v>
      </c>
      <c r="BY5" s="124">
        <f t="shared" ca="1" si="11"/>
        <v>34</v>
      </c>
      <c r="BZ5" s="124">
        <f t="shared" ca="1" si="11"/>
        <v>1098</v>
      </c>
      <c r="CA5" s="124">
        <f t="shared" ca="1" si="11"/>
        <v>5813.5</v>
      </c>
      <c r="CB5" s="124">
        <f t="shared" si="11"/>
        <v>9022</v>
      </c>
      <c r="CC5" s="124">
        <f t="shared" ca="1" si="11"/>
        <v>2083</v>
      </c>
      <c r="CD5" s="124">
        <f t="shared" ca="1" si="11"/>
        <v>858.5</v>
      </c>
      <c r="CE5" s="124">
        <f t="shared" ca="1" si="11"/>
        <v>835</v>
      </c>
      <c r="CF5" s="124">
        <f t="shared" ca="1" si="11"/>
        <v>23178.5</v>
      </c>
      <c r="CG5" s="124">
        <f t="shared" ca="1" si="11"/>
        <v>47553.5</v>
      </c>
      <c r="CH5" s="119">
        <f ca="1">CF5/CG5</f>
        <v>0.4874194328493171</v>
      </c>
    </row>
    <row r="6" spans="1:99" x14ac:dyDescent="0.25">
      <c r="B6">
        <f>B5+1</f>
        <v>2</v>
      </c>
      <c r="C6" s="89">
        <v>2012</v>
      </c>
      <c r="D6" s="69">
        <v>2991</v>
      </c>
      <c r="E6" s="69">
        <v>2845</v>
      </c>
      <c r="F6" s="69">
        <v>3106</v>
      </c>
      <c r="I6" s="89">
        <v>2012</v>
      </c>
      <c r="J6" s="69">
        <v>510</v>
      </c>
      <c r="K6" s="69">
        <v>485</v>
      </c>
      <c r="L6" s="69">
        <v>529</v>
      </c>
      <c r="M6" s="97"/>
      <c r="P6" t="s">
        <v>488</v>
      </c>
      <c r="T6" s="69" t="s">
        <v>111</v>
      </c>
      <c r="U6">
        <v>0</v>
      </c>
      <c r="X6" s="85">
        <f t="shared" ref="X6:X20" si="12">C5</f>
        <v>2011</v>
      </c>
      <c r="Y6" s="84">
        <f t="shared" ref="Y6:Y20" ca="1" si="13">OFFSET($D$4,Y$2*18+$T5-2010,$X$2)</f>
        <v>2654</v>
      </c>
      <c r="Z6" s="84">
        <f t="shared" ref="Z6:Z20" ca="1" si="14">OFFSET($D$4,Z$2*18+$T5-2010,$X$2)</f>
        <v>239</v>
      </c>
      <c r="AA6" s="84">
        <f t="shared" ref="AA6:AA20" ca="1" si="15">OFFSET($D$4,AA$2*18+$T5-2010,$X$2)</f>
        <v>141</v>
      </c>
      <c r="AB6" s="84">
        <f t="shared" ref="AB6:AB20" ca="1" si="16">OFFSET($D$4,AB$2*18+$T5-2010,$X$2)</f>
        <v>608</v>
      </c>
      <c r="AC6" s="84">
        <f t="shared" ref="AC6:AC20" ca="1" si="17">OFFSET($D$4,AC$2*18+$T5-2010,$X$2)</f>
        <v>202</v>
      </c>
      <c r="AD6" s="84">
        <f t="shared" ref="AD6:AD20" ca="1" si="18">OFFSET($D$4,AD$2*18+$T5-2010,$X$2)</f>
        <v>47</v>
      </c>
      <c r="AE6" s="84">
        <f t="shared" ref="AE6:AE20" ca="1" si="19">OFFSET($D$4,AE$2*18+$T5-2010,$X$2)</f>
        <v>1136</v>
      </c>
      <c r="AF6" s="84">
        <f t="shared" ref="AF6:AF20" ca="1" si="20">OFFSET($D$4,AF$2*18+$T5-2010,$X$2)</f>
        <v>6005</v>
      </c>
      <c r="AG6" s="84">
        <f t="shared" ref="AG6:AG20" ca="1" si="21">OFFSET($D$4,AG$2*18+$T5-2010,$X$2)</f>
        <v>9793</v>
      </c>
      <c r="AH6" s="84">
        <f t="shared" ref="AH6:AH20" ca="1" si="22">OFFSET($D$4,AH$2*18+$T5-2010,$X$2)</f>
        <v>2383</v>
      </c>
      <c r="AI6" s="84">
        <f t="shared" ref="AI6:AI20" ca="1" si="23">OFFSET($D$4,AI$2*18+$T5-2010,$X$2)</f>
        <v>873</v>
      </c>
      <c r="AJ6" s="84">
        <f t="shared" ref="AJ6:AJ20" ca="1" si="24">OFFSET($D$4,AJ$2*18+$T5-2010,$X$2)</f>
        <v>849</v>
      </c>
      <c r="AK6" s="84">
        <f t="shared" ref="AK6:AK20" ca="1" si="25">OFFSET($D$4,AK$2*18+$T5-2010,$X$2)</f>
        <v>39102</v>
      </c>
      <c r="AL6" s="105">
        <f ca="1">SUM(Y6:AK6)</f>
        <v>64032</v>
      </c>
      <c r="AM6" s="94">
        <f ca="1">AK6/AL6</f>
        <v>0.61066341829085458</v>
      </c>
      <c r="AN6">
        <f>X6</f>
        <v>2011</v>
      </c>
      <c r="BC6">
        <f t="shared" si="9"/>
        <v>2011</v>
      </c>
      <c r="BD6" s="84">
        <f ca="1">OFFSET($G$4,BD$2*18+$BC6-2010,$BC$2)</f>
        <v>0</v>
      </c>
      <c r="BE6" s="84">
        <f t="shared" ref="BE6:BP20" ca="1" si="26">OFFSET($G$4,BE$2*18+$BC6-2010,$BC$2)</f>
        <v>0</v>
      </c>
      <c r="BF6" s="84">
        <f t="shared" ca="1" si="26"/>
        <v>0</v>
      </c>
      <c r="BG6" s="84">
        <f t="shared" ca="1" si="26"/>
        <v>0</v>
      </c>
      <c r="BH6" s="84">
        <f t="shared" ca="1" si="26"/>
        <v>350</v>
      </c>
      <c r="BI6" s="84">
        <f t="shared" ca="1" si="26"/>
        <v>0</v>
      </c>
      <c r="BJ6" s="84">
        <f t="shared" ca="1" si="26"/>
        <v>0</v>
      </c>
      <c r="BK6" s="84">
        <f t="shared" ca="1" si="26"/>
        <v>0</v>
      </c>
      <c r="BL6" s="84">
        <f t="shared" ca="1" si="26"/>
        <v>1314</v>
      </c>
      <c r="BM6" s="84">
        <f t="shared" ca="1" si="26"/>
        <v>0</v>
      </c>
      <c r="BN6" s="84">
        <f t="shared" ca="1" si="26"/>
        <v>0</v>
      </c>
      <c r="BO6" s="84">
        <f t="shared" ca="1" si="26"/>
        <v>0</v>
      </c>
      <c r="BP6" s="84">
        <f t="shared" ca="1" si="26"/>
        <v>0</v>
      </c>
      <c r="BQ6" s="84">
        <f ca="1">SUM(BD6:BP6)</f>
        <v>1664</v>
      </c>
      <c r="BS6">
        <f t="shared" ref="BS6:BS27" si="27">BC6</f>
        <v>2011</v>
      </c>
      <c r="BT6" s="84">
        <f ca="1">BD6+Y6</f>
        <v>2654</v>
      </c>
      <c r="BU6" s="84">
        <f t="shared" ref="BU6:CE6" ca="1" si="28">BE6+Z6</f>
        <v>239</v>
      </c>
      <c r="BV6" s="84">
        <f t="shared" ca="1" si="28"/>
        <v>141</v>
      </c>
      <c r="BW6" s="84">
        <f t="shared" ca="1" si="28"/>
        <v>608</v>
      </c>
      <c r="BX6" s="84">
        <f t="shared" ca="1" si="28"/>
        <v>552</v>
      </c>
      <c r="BY6" s="84">
        <f t="shared" ca="1" si="28"/>
        <v>47</v>
      </c>
      <c r="BZ6" s="84">
        <f t="shared" ca="1" si="28"/>
        <v>1136</v>
      </c>
      <c r="CA6" s="84">
        <f t="shared" ca="1" si="28"/>
        <v>6005</v>
      </c>
      <c r="CB6" s="84">
        <f t="shared" ca="1" si="28"/>
        <v>11107</v>
      </c>
      <c r="CC6" s="84">
        <f t="shared" ca="1" si="28"/>
        <v>2383</v>
      </c>
      <c r="CD6" s="84">
        <f t="shared" ca="1" si="28"/>
        <v>873</v>
      </c>
      <c r="CE6" s="84">
        <f t="shared" ca="1" si="28"/>
        <v>849</v>
      </c>
      <c r="CF6" s="84">
        <f ca="1">BP6+AK6</f>
        <v>39102</v>
      </c>
      <c r="CG6" s="84">
        <f ca="1">SUM(BT6:CF6)</f>
        <v>65696</v>
      </c>
      <c r="CH6" s="21">
        <f ca="1">CG6/CG5-1</f>
        <v>0.38151765905769297</v>
      </c>
    </row>
    <row r="7" spans="1:99" x14ac:dyDescent="0.25">
      <c r="B7">
        <f t="shared" ref="B7:B70" si="29">B6+1</f>
        <v>3</v>
      </c>
      <c r="C7" s="89">
        <v>2013</v>
      </c>
      <c r="D7" s="69">
        <v>3147</v>
      </c>
      <c r="E7" s="69">
        <v>2966</v>
      </c>
      <c r="F7" s="69">
        <v>3289</v>
      </c>
      <c r="I7" s="89">
        <v>2013</v>
      </c>
      <c r="J7" s="69">
        <v>532</v>
      </c>
      <c r="K7" s="69">
        <v>502</v>
      </c>
      <c r="L7" s="69">
        <v>556</v>
      </c>
      <c r="M7" s="97"/>
      <c r="P7" s="94">
        <f ca="1">INDIRECT(A5&amp;"!c10")</f>
        <v>0.15</v>
      </c>
      <c r="T7" s="69" t="s">
        <v>112</v>
      </c>
      <c r="U7">
        <v>0</v>
      </c>
      <c r="X7" s="85">
        <f t="shared" si="12"/>
        <v>2012</v>
      </c>
      <c r="Y7" s="84">
        <f t="shared" ca="1" si="13"/>
        <v>2991</v>
      </c>
      <c r="Z7" s="84">
        <f t="shared" ca="1" si="14"/>
        <v>337</v>
      </c>
      <c r="AA7" s="84">
        <f t="shared" ca="1" si="15"/>
        <v>149</v>
      </c>
      <c r="AB7" s="84">
        <f t="shared" ca="1" si="16"/>
        <v>760</v>
      </c>
      <c r="AC7" s="84">
        <f t="shared" ca="1" si="17"/>
        <v>267</v>
      </c>
      <c r="AD7" s="84">
        <f t="shared" ca="1" si="18"/>
        <v>105</v>
      </c>
      <c r="AE7" s="84">
        <f t="shared" ca="1" si="19"/>
        <v>1232</v>
      </c>
      <c r="AF7" s="84">
        <f t="shared" ca="1" si="20"/>
        <v>6390</v>
      </c>
      <c r="AG7" s="84">
        <f t="shared" ca="1" si="21"/>
        <v>10421</v>
      </c>
      <c r="AH7" s="84">
        <f t="shared" ca="1" si="22"/>
        <v>2763</v>
      </c>
      <c r="AI7" s="84">
        <f t="shared" ca="1" si="23"/>
        <v>934</v>
      </c>
      <c r="AJ7" s="84">
        <f t="shared" ca="1" si="24"/>
        <v>912</v>
      </c>
      <c r="AK7" s="84">
        <f t="shared" ca="1" si="25"/>
        <v>58069</v>
      </c>
      <c r="AL7" s="105">
        <f t="shared" ref="AL7:AL28" ca="1" si="30">SUM(Y7:AK7)</f>
        <v>85330</v>
      </c>
      <c r="AM7" s="94">
        <f ca="1">(AK6+AF6+AG6)/AL6</f>
        <v>0.85738380809595205</v>
      </c>
      <c r="AN7">
        <f t="shared" ref="AN7:AN28" si="31">X7</f>
        <v>2012</v>
      </c>
      <c r="AO7" s="21">
        <f t="shared" ref="AO7:BA7" ca="1" si="32">Y7/Y6-1</f>
        <v>0.12697814619442349</v>
      </c>
      <c r="AP7" s="21">
        <f t="shared" ca="1" si="32"/>
        <v>0.41004184100418417</v>
      </c>
      <c r="AQ7" s="21">
        <f t="shared" ca="1" si="32"/>
        <v>5.6737588652482351E-2</v>
      </c>
      <c r="AR7" s="21">
        <f t="shared" ca="1" si="32"/>
        <v>0.25</v>
      </c>
      <c r="AS7" s="21">
        <f t="shared" ca="1" si="32"/>
        <v>0.32178217821782185</v>
      </c>
      <c r="AT7" s="21">
        <f t="shared" ca="1" si="32"/>
        <v>1.2340425531914891</v>
      </c>
      <c r="AU7" s="21">
        <f t="shared" ca="1" si="32"/>
        <v>8.4507042253521236E-2</v>
      </c>
      <c r="AV7" s="21">
        <f t="shared" ca="1" si="32"/>
        <v>6.4113238967526964E-2</v>
      </c>
      <c r="AW7" s="21">
        <f t="shared" ca="1" si="32"/>
        <v>6.4127437965894041E-2</v>
      </c>
      <c r="AX7" s="21">
        <f t="shared" ca="1" si="32"/>
        <v>0.1594628619387326</v>
      </c>
      <c r="AY7" s="21">
        <f t="shared" ca="1" si="32"/>
        <v>6.9873997709049229E-2</v>
      </c>
      <c r="AZ7" s="21">
        <f t="shared" ca="1" si="32"/>
        <v>7.4204946996466514E-2</v>
      </c>
      <c r="BA7" s="21">
        <f t="shared" ca="1" si="32"/>
        <v>0.48506470257275836</v>
      </c>
      <c r="BC7">
        <f t="shared" si="9"/>
        <v>2012</v>
      </c>
      <c r="BD7" s="84">
        <f t="shared" ref="BD7:BD20" ca="1" si="33">OFFSET($G$4,BD$2*18+$BC7-2010,$BC$2)</f>
        <v>0</v>
      </c>
      <c r="BE7" s="84">
        <f t="shared" ca="1" si="26"/>
        <v>0</v>
      </c>
      <c r="BF7" s="84">
        <f t="shared" ca="1" si="26"/>
        <v>0</v>
      </c>
      <c r="BG7" s="84">
        <f t="shared" ca="1" si="26"/>
        <v>0</v>
      </c>
      <c r="BH7" s="84">
        <f t="shared" ca="1" si="26"/>
        <v>350</v>
      </c>
      <c r="BI7" s="84">
        <f t="shared" ca="1" si="26"/>
        <v>33</v>
      </c>
      <c r="BJ7" s="84">
        <f t="shared" ca="1" si="26"/>
        <v>0</v>
      </c>
      <c r="BK7" s="84">
        <f t="shared" ca="1" si="26"/>
        <v>0</v>
      </c>
      <c r="BL7" s="84">
        <f t="shared" ca="1" si="26"/>
        <v>1314</v>
      </c>
      <c r="BM7" s="84">
        <f t="shared" ca="1" si="26"/>
        <v>0</v>
      </c>
      <c r="BN7" s="84">
        <f t="shared" ca="1" si="26"/>
        <v>0</v>
      </c>
      <c r="BO7" s="84">
        <f t="shared" ca="1" si="26"/>
        <v>0</v>
      </c>
      <c r="BP7" s="84">
        <f t="shared" ca="1" si="26"/>
        <v>0</v>
      </c>
      <c r="BQ7" s="84">
        <f t="shared" ref="BQ7:BQ28" ca="1" si="34">SUM(BD7:BP7)</f>
        <v>1697</v>
      </c>
      <c r="BS7">
        <f t="shared" si="27"/>
        <v>2012</v>
      </c>
      <c r="BT7" s="84">
        <f t="shared" ref="BT7:BT28" ca="1" si="35">BD7+Y7</f>
        <v>2991</v>
      </c>
      <c r="BU7" s="84">
        <f t="shared" ref="BU7:BU28" ca="1" si="36">BE7+Z7</f>
        <v>337</v>
      </c>
      <c r="BV7" s="84">
        <f t="shared" ref="BV7:BV28" ca="1" si="37">BF7+AA7</f>
        <v>149</v>
      </c>
      <c r="BW7" s="84">
        <f t="shared" ref="BW7:BW28" ca="1" si="38">BG7+AB7</f>
        <v>760</v>
      </c>
      <c r="BX7" s="84">
        <f t="shared" ref="BX7:BX28" ca="1" si="39">BH7+AC7</f>
        <v>617</v>
      </c>
      <c r="BY7" s="84">
        <f t="shared" ref="BY7:BY28" ca="1" si="40">BI7+AD7</f>
        <v>138</v>
      </c>
      <c r="BZ7" s="84">
        <f t="shared" ref="BZ7:BZ28" ca="1" si="41">BJ7+AE7</f>
        <v>1232</v>
      </c>
      <c r="CA7" s="84">
        <f t="shared" ref="CA7:CA28" ca="1" si="42">BK7+AF7</f>
        <v>6390</v>
      </c>
      <c r="CB7" s="84">
        <f t="shared" ref="CB7:CB28" ca="1" si="43">BL7+AG7</f>
        <v>11735</v>
      </c>
      <c r="CC7" s="84">
        <f t="shared" ref="CC7:CC28" ca="1" si="44">BM7+AH7</f>
        <v>2763</v>
      </c>
      <c r="CD7" s="84">
        <f t="shared" ref="CD7:CD28" ca="1" si="45">BN7+AI7</f>
        <v>934</v>
      </c>
      <c r="CE7" s="84">
        <f t="shared" ref="CE7:CE28" ca="1" si="46">BO7+AJ7</f>
        <v>912</v>
      </c>
      <c r="CF7" s="84">
        <f t="shared" ref="CF7:CF28" ca="1" si="47">BP7+AK7</f>
        <v>58069</v>
      </c>
      <c r="CG7" s="84">
        <f t="shared" ref="CG7:CG28" ca="1" si="48">SUM(BT7:CF7)</f>
        <v>87027</v>
      </c>
      <c r="CH7" s="21">
        <f t="shared" ref="CH7:CH25" ca="1" si="49">CG7/CG6-1</f>
        <v>0.32469252313687291</v>
      </c>
    </row>
    <row r="8" spans="1:99" x14ac:dyDescent="0.25">
      <c r="B8">
        <f t="shared" si="29"/>
        <v>4</v>
      </c>
      <c r="C8" s="89">
        <v>2014</v>
      </c>
      <c r="D8" s="69">
        <v>3319</v>
      </c>
      <c r="E8" s="69">
        <v>3098</v>
      </c>
      <c r="F8" s="69">
        <v>3492</v>
      </c>
      <c r="I8" s="89">
        <v>2014</v>
      </c>
      <c r="J8" s="69">
        <v>557</v>
      </c>
      <c r="K8" s="69">
        <v>520</v>
      </c>
      <c r="L8" s="69">
        <v>586</v>
      </c>
      <c r="M8" s="97"/>
      <c r="T8" s="69" t="s">
        <v>113</v>
      </c>
      <c r="U8">
        <v>0</v>
      </c>
      <c r="X8" s="85">
        <f t="shared" si="12"/>
        <v>2013</v>
      </c>
      <c r="Y8" s="84">
        <f t="shared" ca="1" si="13"/>
        <v>3147</v>
      </c>
      <c r="Z8" s="84">
        <f t="shared" ca="1" si="14"/>
        <v>414</v>
      </c>
      <c r="AA8" s="84">
        <f t="shared" ca="1" si="15"/>
        <v>157</v>
      </c>
      <c r="AB8" s="84">
        <f t="shared" ca="1" si="16"/>
        <v>934</v>
      </c>
      <c r="AC8" s="84">
        <f t="shared" ca="1" si="17"/>
        <v>363</v>
      </c>
      <c r="AD8" s="84">
        <f t="shared" ca="1" si="18"/>
        <v>163</v>
      </c>
      <c r="AE8" s="84">
        <f t="shared" ca="1" si="19"/>
        <v>1382</v>
      </c>
      <c r="AF8" s="84">
        <f t="shared" ca="1" si="20"/>
        <v>6799</v>
      </c>
      <c r="AG8" s="84">
        <f t="shared" ca="1" si="21"/>
        <v>11093</v>
      </c>
      <c r="AH8" s="84">
        <f t="shared" ca="1" si="22"/>
        <v>3004</v>
      </c>
      <c r="AI8" s="84">
        <f t="shared" ca="1" si="23"/>
        <v>1006</v>
      </c>
      <c r="AJ8" s="84">
        <f t="shared" ca="1" si="24"/>
        <v>977</v>
      </c>
      <c r="AK8" s="84">
        <f t="shared" ca="1" si="25"/>
        <v>61321</v>
      </c>
      <c r="AL8" s="105">
        <f t="shared" ca="1" si="30"/>
        <v>90760</v>
      </c>
      <c r="AM8" s="84"/>
      <c r="AN8">
        <f t="shared" si="31"/>
        <v>2013</v>
      </c>
      <c r="AO8" s="21">
        <f t="shared" ref="AO8:AO20" ca="1" si="50">Y8/Y7-1</f>
        <v>5.2156469408224604E-2</v>
      </c>
      <c r="AP8" s="21">
        <f t="shared" ref="AP8:BA20" ca="1" si="51">Z8/Z7-1</f>
        <v>0.228486646884273</v>
      </c>
      <c r="AQ8" s="21">
        <f t="shared" ca="1" si="51"/>
        <v>5.3691275167785157E-2</v>
      </c>
      <c r="AR8" s="21">
        <f t="shared" ca="1" si="51"/>
        <v>0.22894736842105257</v>
      </c>
      <c r="AS8" s="21">
        <f t="shared" ca="1" si="51"/>
        <v>0.3595505617977528</v>
      </c>
      <c r="AT8" s="21">
        <f t="shared" ca="1" si="51"/>
        <v>0.55238095238095242</v>
      </c>
      <c r="AU8" s="21">
        <f t="shared" ca="1" si="51"/>
        <v>0.12175324675324672</v>
      </c>
      <c r="AV8" s="21">
        <f t="shared" ca="1" si="51"/>
        <v>6.4006259780907682E-2</v>
      </c>
      <c r="AW8" s="21">
        <f t="shared" ca="1" si="51"/>
        <v>6.4485174167546289E-2</v>
      </c>
      <c r="AX8" s="21">
        <f t="shared" ca="1" si="51"/>
        <v>8.7224031849439054E-2</v>
      </c>
      <c r="AY8" s="21">
        <f t="shared" ca="1" si="51"/>
        <v>7.7087794432548096E-2</v>
      </c>
      <c r="AZ8" s="21">
        <f t="shared" ca="1" si="51"/>
        <v>7.1271929824561431E-2</v>
      </c>
      <c r="BA8" s="21">
        <f t="shared" ca="1" si="51"/>
        <v>5.6002342041364672E-2</v>
      </c>
      <c r="BC8">
        <f t="shared" si="9"/>
        <v>2013</v>
      </c>
      <c r="BD8" s="84">
        <f t="shared" ca="1" si="33"/>
        <v>0</v>
      </c>
      <c r="BE8" s="84">
        <f t="shared" ca="1" si="26"/>
        <v>0</v>
      </c>
      <c r="BF8" s="84">
        <f t="shared" ca="1" si="26"/>
        <v>0</v>
      </c>
      <c r="BG8" s="84">
        <f t="shared" ca="1" si="26"/>
        <v>0</v>
      </c>
      <c r="BH8" s="84">
        <f t="shared" ca="1" si="26"/>
        <v>631</v>
      </c>
      <c r="BI8" s="84">
        <f t="shared" ca="1" si="26"/>
        <v>131</v>
      </c>
      <c r="BJ8" s="84">
        <f t="shared" ca="1" si="26"/>
        <v>0</v>
      </c>
      <c r="BK8" s="84">
        <f t="shared" ca="1" si="26"/>
        <v>0</v>
      </c>
      <c r="BL8" s="84">
        <f t="shared" ca="1" si="26"/>
        <v>1971</v>
      </c>
      <c r="BM8" s="84">
        <f t="shared" ca="1" si="26"/>
        <v>0</v>
      </c>
      <c r="BN8" s="84">
        <f t="shared" ca="1" si="26"/>
        <v>0</v>
      </c>
      <c r="BO8" s="84">
        <f t="shared" ca="1" si="26"/>
        <v>0</v>
      </c>
      <c r="BP8" s="84">
        <f t="shared" ca="1" si="26"/>
        <v>0</v>
      </c>
      <c r="BQ8" s="84">
        <f t="shared" ca="1" si="34"/>
        <v>2733</v>
      </c>
      <c r="BS8">
        <f t="shared" si="27"/>
        <v>2013</v>
      </c>
      <c r="BT8" s="84">
        <f t="shared" ca="1" si="35"/>
        <v>3147</v>
      </c>
      <c r="BU8" s="84">
        <f t="shared" ca="1" si="36"/>
        <v>414</v>
      </c>
      <c r="BV8" s="84">
        <f t="shared" ca="1" si="37"/>
        <v>157</v>
      </c>
      <c r="BW8" s="84">
        <f t="shared" ca="1" si="38"/>
        <v>934</v>
      </c>
      <c r="BX8" s="84">
        <f t="shared" ca="1" si="39"/>
        <v>994</v>
      </c>
      <c r="BY8" s="84">
        <f t="shared" ca="1" si="40"/>
        <v>294</v>
      </c>
      <c r="BZ8" s="84">
        <f t="shared" ca="1" si="41"/>
        <v>1382</v>
      </c>
      <c r="CA8" s="84">
        <f t="shared" ca="1" si="42"/>
        <v>6799</v>
      </c>
      <c r="CB8" s="84">
        <f t="shared" ca="1" si="43"/>
        <v>13064</v>
      </c>
      <c r="CC8" s="84">
        <f t="shared" ca="1" si="44"/>
        <v>3004</v>
      </c>
      <c r="CD8" s="84">
        <f t="shared" ca="1" si="45"/>
        <v>1006</v>
      </c>
      <c r="CE8" s="84">
        <f t="shared" ca="1" si="46"/>
        <v>977</v>
      </c>
      <c r="CF8" s="84">
        <f t="shared" ca="1" si="47"/>
        <v>61321</v>
      </c>
      <c r="CG8" s="84">
        <f t="shared" ca="1" si="48"/>
        <v>93493</v>
      </c>
      <c r="CH8" s="21">
        <f t="shared" ca="1" si="49"/>
        <v>7.4298780838130796E-2</v>
      </c>
    </row>
    <row r="9" spans="1:99" x14ac:dyDescent="0.25">
      <c r="B9">
        <f t="shared" si="29"/>
        <v>5</v>
      </c>
      <c r="C9" s="89">
        <v>2015</v>
      </c>
      <c r="D9" s="69">
        <v>3744</v>
      </c>
      <c r="E9" s="69">
        <v>3428</v>
      </c>
      <c r="F9" s="69">
        <v>4003</v>
      </c>
      <c r="I9" s="89">
        <v>2015</v>
      </c>
      <c r="J9" s="69">
        <v>629</v>
      </c>
      <c r="K9" s="69">
        <v>575</v>
      </c>
      <c r="L9" s="69">
        <v>672</v>
      </c>
      <c r="M9" s="97"/>
      <c r="T9" s="69" t="s">
        <v>114</v>
      </c>
      <c r="U9">
        <v>0</v>
      </c>
      <c r="X9" s="85">
        <f t="shared" si="12"/>
        <v>2014</v>
      </c>
      <c r="Y9" s="84">
        <f t="shared" ca="1" si="13"/>
        <v>3319</v>
      </c>
      <c r="Z9" s="84">
        <f t="shared" ca="1" si="14"/>
        <v>496</v>
      </c>
      <c r="AA9" s="84">
        <f t="shared" ca="1" si="15"/>
        <v>167</v>
      </c>
      <c r="AB9" s="84">
        <f t="shared" ca="1" si="16"/>
        <v>1102</v>
      </c>
      <c r="AC9" s="84">
        <f t="shared" ca="1" si="17"/>
        <v>486</v>
      </c>
      <c r="AD9" s="84">
        <f t="shared" ca="1" si="18"/>
        <v>226</v>
      </c>
      <c r="AE9" s="84">
        <f t="shared" ca="1" si="19"/>
        <v>2111</v>
      </c>
      <c r="AF9" s="84">
        <f t="shared" ca="1" si="20"/>
        <v>7245</v>
      </c>
      <c r="AG9" s="84">
        <f t="shared" ca="1" si="21"/>
        <v>11764</v>
      </c>
      <c r="AH9" s="84">
        <f t="shared" ca="1" si="22"/>
        <v>3268</v>
      </c>
      <c r="AI9" s="84">
        <f t="shared" ca="1" si="23"/>
        <v>1087</v>
      </c>
      <c r="AJ9" s="84">
        <f t="shared" ca="1" si="24"/>
        <v>1044</v>
      </c>
      <c r="AK9" s="84">
        <f t="shared" ca="1" si="25"/>
        <v>64964</v>
      </c>
      <c r="AL9" s="105">
        <f t="shared" ca="1" si="30"/>
        <v>97279</v>
      </c>
      <c r="AN9">
        <f t="shared" si="31"/>
        <v>2014</v>
      </c>
      <c r="AO9" s="21">
        <f t="shared" ca="1" si="50"/>
        <v>5.4655227200508527E-2</v>
      </c>
      <c r="AP9" s="21">
        <f t="shared" ca="1" si="51"/>
        <v>0.19806763285024154</v>
      </c>
      <c r="AQ9" s="21">
        <f t="shared" ca="1" si="51"/>
        <v>6.3694267515923553E-2</v>
      </c>
      <c r="AR9" s="21">
        <f t="shared" ca="1" si="51"/>
        <v>0.17987152034261245</v>
      </c>
      <c r="AS9" s="21">
        <f t="shared" ca="1" si="51"/>
        <v>0.33884297520661155</v>
      </c>
      <c r="AT9" s="21">
        <f t="shared" ca="1" si="51"/>
        <v>0.38650306748466257</v>
      </c>
      <c r="AU9" s="21">
        <f t="shared" ca="1" si="51"/>
        <v>0.52749638205499272</v>
      </c>
      <c r="AV9" s="21">
        <f t="shared" ca="1" si="51"/>
        <v>6.5597882041476652E-2</v>
      </c>
      <c r="AW9" s="21">
        <f t="shared" ca="1" si="51"/>
        <v>6.0488596412151763E-2</v>
      </c>
      <c r="AX9" s="21">
        <f t="shared" ca="1" si="51"/>
        <v>8.7882822902796365E-2</v>
      </c>
      <c r="AY9" s="21">
        <f t="shared" ca="1" si="51"/>
        <v>8.0516898608349985E-2</v>
      </c>
      <c r="AZ9" s="21">
        <f t="shared" ca="1" si="51"/>
        <v>6.8577277379733959E-2</v>
      </c>
      <c r="BA9" s="21">
        <f t="shared" ca="1" si="51"/>
        <v>5.9408685442181364E-2</v>
      </c>
      <c r="BC9">
        <f t="shared" si="9"/>
        <v>2014</v>
      </c>
      <c r="BD9" s="84">
        <f t="shared" ca="1" si="33"/>
        <v>0</v>
      </c>
      <c r="BE9" s="84">
        <f t="shared" ca="1" si="26"/>
        <v>0</v>
      </c>
      <c r="BF9" s="84">
        <f t="shared" ca="1" si="26"/>
        <v>0</v>
      </c>
      <c r="BG9" s="84">
        <f t="shared" ca="1" si="26"/>
        <v>0</v>
      </c>
      <c r="BH9" s="84">
        <f t="shared" ca="1" si="26"/>
        <v>911</v>
      </c>
      <c r="BI9" s="84">
        <f t="shared" ca="1" si="26"/>
        <v>657</v>
      </c>
      <c r="BJ9" s="84">
        <f t="shared" ca="1" si="26"/>
        <v>0</v>
      </c>
      <c r="BK9" s="84">
        <f t="shared" ca="1" si="26"/>
        <v>0</v>
      </c>
      <c r="BL9" s="84">
        <f t="shared" ca="1" si="26"/>
        <v>1971</v>
      </c>
      <c r="BM9" s="84">
        <f t="shared" ca="1" si="26"/>
        <v>0</v>
      </c>
      <c r="BN9" s="84">
        <f t="shared" ca="1" si="26"/>
        <v>0</v>
      </c>
      <c r="BO9" s="84">
        <f t="shared" ca="1" si="26"/>
        <v>0</v>
      </c>
      <c r="BP9" s="84">
        <f t="shared" ca="1" si="26"/>
        <v>0</v>
      </c>
      <c r="BQ9" s="84">
        <f t="shared" ca="1" si="34"/>
        <v>3539</v>
      </c>
      <c r="BS9">
        <f t="shared" si="27"/>
        <v>2014</v>
      </c>
      <c r="BT9" s="84">
        <f t="shared" ca="1" si="35"/>
        <v>3319</v>
      </c>
      <c r="BU9" s="84">
        <f t="shared" ca="1" si="36"/>
        <v>496</v>
      </c>
      <c r="BV9" s="84">
        <f t="shared" ca="1" si="37"/>
        <v>167</v>
      </c>
      <c r="BW9" s="84">
        <f t="shared" ca="1" si="38"/>
        <v>1102</v>
      </c>
      <c r="BX9" s="84">
        <f t="shared" ca="1" si="39"/>
        <v>1397</v>
      </c>
      <c r="BY9" s="84">
        <f t="shared" ca="1" si="40"/>
        <v>883</v>
      </c>
      <c r="BZ9" s="84">
        <f t="shared" ca="1" si="41"/>
        <v>2111</v>
      </c>
      <c r="CA9" s="84">
        <f t="shared" ca="1" si="42"/>
        <v>7245</v>
      </c>
      <c r="CB9" s="84">
        <f t="shared" ca="1" si="43"/>
        <v>13735</v>
      </c>
      <c r="CC9" s="84">
        <f t="shared" ca="1" si="44"/>
        <v>3268</v>
      </c>
      <c r="CD9" s="84">
        <f t="shared" ca="1" si="45"/>
        <v>1087</v>
      </c>
      <c r="CE9" s="84">
        <f t="shared" ca="1" si="46"/>
        <v>1044</v>
      </c>
      <c r="CF9" s="84">
        <f t="shared" ca="1" si="47"/>
        <v>64964</v>
      </c>
      <c r="CG9" s="84">
        <f t="shared" ca="1" si="48"/>
        <v>100818</v>
      </c>
      <c r="CH9" s="21">
        <f t="shared" ca="1" si="49"/>
        <v>7.8348111623329997E-2</v>
      </c>
    </row>
    <row r="10" spans="1:99" x14ac:dyDescent="0.25">
      <c r="B10">
        <f t="shared" si="29"/>
        <v>6</v>
      </c>
      <c r="C10" s="89">
        <v>2016</v>
      </c>
      <c r="D10" s="69">
        <v>4311</v>
      </c>
      <c r="E10" s="69">
        <v>3879</v>
      </c>
      <c r="F10" s="69">
        <v>4673</v>
      </c>
      <c r="I10" s="89">
        <v>2016</v>
      </c>
      <c r="J10" s="69">
        <v>724</v>
      </c>
      <c r="K10" s="69">
        <v>651</v>
      </c>
      <c r="L10" s="69">
        <v>784</v>
      </c>
      <c r="M10" s="97"/>
      <c r="T10" s="69" t="s">
        <v>115</v>
      </c>
      <c r="U10">
        <v>0</v>
      </c>
      <c r="X10" s="85">
        <f t="shared" si="12"/>
        <v>2015</v>
      </c>
      <c r="Y10" s="84">
        <f t="shared" ca="1" si="13"/>
        <v>3744</v>
      </c>
      <c r="Z10" s="84">
        <f t="shared" ca="1" si="14"/>
        <v>586</v>
      </c>
      <c r="AA10" s="84">
        <f t="shared" ca="1" si="15"/>
        <v>176</v>
      </c>
      <c r="AB10" s="84">
        <f t="shared" ca="1" si="16"/>
        <v>1563</v>
      </c>
      <c r="AC10" s="84">
        <f t="shared" ca="1" si="17"/>
        <v>587</v>
      </c>
      <c r="AD10" s="84">
        <f t="shared" ca="1" si="18"/>
        <v>263</v>
      </c>
      <c r="AE10" s="84">
        <f t="shared" ca="1" si="19"/>
        <v>2226</v>
      </c>
      <c r="AF10" s="84">
        <f t="shared" ca="1" si="20"/>
        <v>7731</v>
      </c>
      <c r="AG10" s="84">
        <f t="shared" ca="1" si="21"/>
        <v>12484</v>
      </c>
      <c r="AH10" s="84">
        <f t="shared" ca="1" si="22"/>
        <v>3547</v>
      </c>
      <c r="AI10" s="84">
        <f t="shared" ca="1" si="23"/>
        <v>1173</v>
      </c>
      <c r="AJ10" s="84">
        <f t="shared" ca="1" si="24"/>
        <v>1235</v>
      </c>
      <c r="AK10" s="84">
        <f t="shared" ca="1" si="25"/>
        <v>68830</v>
      </c>
      <c r="AL10" s="105">
        <f t="shared" ca="1" si="30"/>
        <v>104145</v>
      </c>
      <c r="AN10">
        <f t="shared" si="31"/>
        <v>2015</v>
      </c>
      <c r="AO10" s="21">
        <f t="shared" ca="1" si="50"/>
        <v>0.12805061765592041</v>
      </c>
      <c r="AP10" s="21">
        <f t="shared" ca="1" si="51"/>
        <v>0.18145161290322576</v>
      </c>
      <c r="AQ10" s="21">
        <f t="shared" ca="1" si="51"/>
        <v>5.3892215568862367E-2</v>
      </c>
      <c r="AR10" s="21">
        <f t="shared" ca="1" si="51"/>
        <v>0.41833030852994546</v>
      </c>
      <c r="AS10" s="21">
        <f t="shared" ca="1" si="51"/>
        <v>0.20781893004115237</v>
      </c>
      <c r="AT10" s="21">
        <f t="shared" ca="1" si="51"/>
        <v>0.16371681415929196</v>
      </c>
      <c r="AU10" s="21">
        <f t="shared" ca="1" si="51"/>
        <v>5.4476551397441897E-2</v>
      </c>
      <c r="AV10" s="21">
        <f t="shared" ca="1" si="51"/>
        <v>6.70807453416149E-2</v>
      </c>
      <c r="AW10" s="21">
        <f t="shared" ca="1" si="51"/>
        <v>6.1203672220333294E-2</v>
      </c>
      <c r="AX10" s="21">
        <f t="shared" ca="1" si="51"/>
        <v>8.5373317013463845E-2</v>
      </c>
      <c r="AY10" s="21">
        <f t="shared" ca="1" si="51"/>
        <v>7.9116835326586976E-2</v>
      </c>
      <c r="AZ10" s="21">
        <f t="shared" ca="1" si="51"/>
        <v>0.18295019157088133</v>
      </c>
      <c r="BA10" s="21">
        <f t="shared" ca="1" si="51"/>
        <v>5.9509882396404201E-2</v>
      </c>
      <c r="BC10">
        <f t="shared" si="9"/>
        <v>2015</v>
      </c>
      <c r="BD10" s="84">
        <f t="shared" ca="1" si="33"/>
        <v>0</v>
      </c>
      <c r="BE10" s="84">
        <f t="shared" ca="1" si="26"/>
        <v>0</v>
      </c>
      <c r="BF10" s="84">
        <f t="shared" ca="1" si="26"/>
        <v>0</v>
      </c>
      <c r="BG10" s="84">
        <f t="shared" ca="1" si="26"/>
        <v>0</v>
      </c>
      <c r="BH10" s="84">
        <f t="shared" ca="1" si="26"/>
        <v>911</v>
      </c>
      <c r="BI10" s="84">
        <f t="shared" ca="1" si="26"/>
        <v>1183</v>
      </c>
      <c r="BJ10" s="84">
        <f t="shared" ca="1" si="26"/>
        <v>0</v>
      </c>
      <c r="BK10" s="84">
        <f t="shared" ca="1" si="26"/>
        <v>0</v>
      </c>
      <c r="BL10" s="84">
        <f t="shared" ca="1" si="26"/>
        <v>1971</v>
      </c>
      <c r="BM10" s="84">
        <f t="shared" ca="1" si="26"/>
        <v>0</v>
      </c>
      <c r="BN10" s="84">
        <f t="shared" ca="1" si="26"/>
        <v>0</v>
      </c>
      <c r="BO10" s="84">
        <f t="shared" ca="1" si="26"/>
        <v>0</v>
      </c>
      <c r="BP10" s="84">
        <f t="shared" ca="1" si="26"/>
        <v>0</v>
      </c>
      <c r="BQ10" s="84">
        <f t="shared" ca="1" si="34"/>
        <v>4065</v>
      </c>
      <c r="BS10">
        <f t="shared" si="27"/>
        <v>2015</v>
      </c>
      <c r="BT10" s="84">
        <f t="shared" ca="1" si="35"/>
        <v>3744</v>
      </c>
      <c r="BU10" s="84">
        <f t="shared" ca="1" si="36"/>
        <v>586</v>
      </c>
      <c r="BV10" s="84">
        <f t="shared" ca="1" si="37"/>
        <v>176</v>
      </c>
      <c r="BW10" s="84">
        <f t="shared" ca="1" si="38"/>
        <v>1563</v>
      </c>
      <c r="BX10" s="84">
        <f t="shared" ca="1" si="39"/>
        <v>1498</v>
      </c>
      <c r="BY10" s="84">
        <f t="shared" ca="1" si="40"/>
        <v>1446</v>
      </c>
      <c r="BZ10" s="84">
        <f t="shared" ca="1" si="41"/>
        <v>2226</v>
      </c>
      <c r="CA10" s="84">
        <f t="shared" ca="1" si="42"/>
        <v>7731</v>
      </c>
      <c r="CB10" s="84">
        <f t="shared" ca="1" si="43"/>
        <v>14455</v>
      </c>
      <c r="CC10" s="84">
        <f t="shared" ca="1" si="44"/>
        <v>3547</v>
      </c>
      <c r="CD10" s="84">
        <f t="shared" ca="1" si="45"/>
        <v>1173</v>
      </c>
      <c r="CE10" s="84">
        <f t="shared" ca="1" si="46"/>
        <v>1235</v>
      </c>
      <c r="CF10" s="84">
        <f t="shared" ca="1" si="47"/>
        <v>68830</v>
      </c>
      <c r="CG10" s="84">
        <f t="shared" ca="1" si="48"/>
        <v>108210</v>
      </c>
      <c r="CH10" s="21">
        <f t="shared" ca="1" si="49"/>
        <v>7.3320240433256023E-2</v>
      </c>
    </row>
    <row r="11" spans="1:99" x14ac:dyDescent="0.25">
      <c r="B11">
        <f t="shared" si="29"/>
        <v>7</v>
      </c>
      <c r="C11" s="89">
        <v>2017</v>
      </c>
      <c r="D11" s="69">
        <v>4536</v>
      </c>
      <c r="E11" s="69">
        <v>4050</v>
      </c>
      <c r="F11" s="69">
        <v>4939</v>
      </c>
      <c r="I11" s="89">
        <v>2017</v>
      </c>
      <c r="J11" s="69">
        <v>761</v>
      </c>
      <c r="K11" s="69">
        <v>680</v>
      </c>
      <c r="L11" s="69">
        <v>829</v>
      </c>
      <c r="M11" s="97"/>
      <c r="T11" s="69" t="s">
        <v>116</v>
      </c>
      <c r="U11">
        <v>0</v>
      </c>
      <c r="X11" s="85">
        <f t="shared" si="12"/>
        <v>2016</v>
      </c>
      <c r="Y11" s="84">
        <f t="shared" ca="1" si="13"/>
        <v>4311</v>
      </c>
      <c r="Z11" s="84">
        <f t="shared" ca="1" si="14"/>
        <v>747</v>
      </c>
      <c r="AA11" s="84">
        <f t="shared" ca="1" si="15"/>
        <v>187</v>
      </c>
      <c r="AB11" s="84">
        <f t="shared" ca="1" si="16"/>
        <v>1718</v>
      </c>
      <c r="AC11" s="84">
        <f t="shared" ca="1" si="17"/>
        <v>715</v>
      </c>
      <c r="AD11" s="84">
        <f t="shared" ca="1" si="18"/>
        <v>279</v>
      </c>
      <c r="AE11" s="84">
        <f t="shared" ca="1" si="19"/>
        <v>2896</v>
      </c>
      <c r="AF11" s="84">
        <f t="shared" ca="1" si="20"/>
        <v>8197</v>
      </c>
      <c r="AG11" s="84">
        <f t="shared" ca="1" si="21"/>
        <v>13252</v>
      </c>
      <c r="AH11" s="84">
        <f t="shared" ca="1" si="22"/>
        <v>3841</v>
      </c>
      <c r="AI11" s="84">
        <f t="shared" ca="1" si="23"/>
        <v>1265</v>
      </c>
      <c r="AJ11" s="84">
        <f t="shared" ca="1" si="24"/>
        <v>1306</v>
      </c>
      <c r="AK11" s="84">
        <f t="shared" ca="1" si="25"/>
        <v>72926</v>
      </c>
      <c r="AL11" s="105">
        <f t="shared" ca="1" si="30"/>
        <v>111640</v>
      </c>
      <c r="AN11">
        <f t="shared" si="31"/>
        <v>2016</v>
      </c>
      <c r="AO11" s="21">
        <f t="shared" ca="1" si="50"/>
        <v>0.15144230769230771</v>
      </c>
      <c r="AP11" s="21">
        <f t="shared" ca="1" si="51"/>
        <v>0.27474402730375425</v>
      </c>
      <c r="AQ11" s="21">
        <f t="shared" ca="1" si="51"/>
        <v>6.25E-2</v>
      </c>
      <c r="AR11" s="21">
        <f t="shared" ca="1" si="51"/>
        <v>9.9168266154830542E-2</v>
      </c>
      <c r="AS11" s="21">
        <f t="shared" ca="1" si="51"/>
        <v>0.21805792163543436</v>
      </c>
      <c r="AT11" s="21">
        <f t="shared" ca="1" si="51"/>
        <v>6.083650190114076E-2</v>
      </c>
      <c r="AU11" s="21">
        <f t="shared" ca="1" si="51"/>
        <v>0.30098831985624441</v>
      </c>
      <c r="AV11" s="21">
        <f t="shared" ca="1" si="51"/>
        <v>6.0276807657482889E-2</v>
      </c>
      <c r="AW11" s="21">
        <f t="shared" ca="1" si="51"/>
        <v>6.1518743992310165E-2</v>
      </c>
      <c r="AX11" s="21">
        <f t="shared" ca="1" si="51"/>
        <v>8.2886946715534204E-2</v>
      </c>
      <c r="AY11" s="21">
        <f t="shared" ca="1" si="51"/>
        <v>7.8431372549019551E-2</v>
      </c>
      <c r="AZ11" s="21">
        <f t="shared" ca="1" si="51"/>
        <v>5.7489878542510198E-2</v>
      </c>
      <c r="BA11" s="21">
        <f t="shared" ca="1" si="51"/>
        <v>5.9508935057387857E-2</v>
      </c>
      <c r="BC11">
        <f t="shared" si="9"/>
        <v>2016</v>
      </c>
      <c r="BD11" s="84">
        <f t="shared" ca="1" si="33"/>
        <v>0</v>
      </c>
      <c r="BE11" s="84">
        <f t="shared" ca="1" si="26"/>
        <v>0</v>
      </c>
      <c r="BF11" s="84">
        <f t="shared" ca="1" si="26"/>
        <v>351</v>
      </c>
      <c r="BG11" s="84">
        <f t="shared" ca="1" si="26"/>
        <v>2643</v>
      </c>
      <c r="BH11" s="84">
        <f t="shared" ca="1" si="26"/>
        <v>1612</v>
      </c>
      <c r="BI11" s="84">
        <f t="shared" ca="1" si="26"/>
        <v>1840</v>
      </c>
      <c r="BJ11" s="84">
        <f t="shared" ca="1" si="26"/>
        <v>0</v>
      </c>
      <c r="BK11" s="84">
        <f t="shared" ca="1" si="26"/>
        <v>0</v>
      </c>
      <c r="BL11" s="84">
        <f t="shared" ca="1" si="26"/>
        <v>1971</v>
      </c>
      <c r="BM11" s="84">
        <f t="shared" ca="1" si="26"/>
        <v>0</v>
      </c>
      <c r="BN11" s="84">
        <f t="shared" ca="1" si="26"/>
        <v>0</v>
      </c>
      <c r="BO11" s="84">
        <f t="shared" ca="1" si="26"/>
        <v>0</v>
      </c>
      <c r="BP11" s="84">
        <f t="shared" ca="1" si="26"/>
        <v>0</v>
      </c>
      <c r="BQ11" s="84">
        <f t="shared" ca="1" si="34"/>
        <v>8417</v>
      </c>
      <c r="BS11">
        <f t="shared" si="27"/>
        <v>2016</v>
      </c>
      <c r="BT11" s="84">
        <f t="shared" ca="1" si="35"/>
        <v>4311</v>
      </c>
      <c r="BU11" s="84">
        <f t="shared" ca="1" si="36"/>
        <v>747</v>
      </c>
      <c r="BV11" s="84">
        <f t="shared" ca="1" si="37"/>
        <v>538</v>
      </c>
      <c r="BW11" s="84">
        <f t="shared" ca="1" si="38"/>
        <v>4361</v>
      </c>
      <c r="BX11" s="84">
        <f t="shared" ca="1" si="39"/>
        <v>2327</v>
      </c>
      <c r="BY11" s="84">
        <f t="shared" ca="1" si="40"/>
        <v>2119</v>
      </c>
      <c r="BZ11" s="84">
        <f t="shared" ca="1" si="41"/>
        <v>2896</v>
      </c>
      <c r="CA11" s="84">
        <f t="shared" ca="1" si="42"/>
        <v>8197</v>
      </c>
      <c r="CB11" s="84">
        <f t="shared" ca="1" si="43"/>
        <v>15223</v>
      </c>
      <c r="CC11" s="84">
        <f t="shared" ca="1" si="44"/>
        <v>3841</v>
      </c>
      <c r="CD11" s="84">
        <f t="shared" ca="1" si="45"/>
        <v>1265</v>
      </c>
      <c r="CE11" s="84">
        <f t="shared" ca="1" si="46"/>
        <v>1306</v>
      </c>
      <c r="CF11" s="84">
        <f t="shared" ca="1" si="47"/>
        <v>72926</v>
      </c>
      <c r="CG11" s="84">
        <f t="shared" ca="1" si="48"/>
        <v>120057</v>
      </c>
      <c r="CH11" s="21">
        <f t="shared" ca="1" si="49"/>
        <v>0.10948156362628225</v>
      </c>
    </row>
    <row r="12" spans="1:99" x14ac:dyDescent="0.25">
      <c r="B12">
        <f t="shared" si="29"/>
        <v>8</v>
      </c>
      <c r="C12" s="89">
        <v>2018</v>
      </c>
      <c r="D12" s="69">
        <v>4774</v>
      </c>
      <c r="E12" s="69">
        <v>4229</v>
      </c>
      <c r="F12" s="69">
        <v>5224</v>
      </c>
      <c r="I12" s="89">
        <v>2018</v>
      </c>
      <c r="J12" s="69">
        <v>801</v>
      </c>
      <c r="K12" s="69">
        <v>710</v>
      </c>
      <c r="L12" s="69">
        <v>877</v>
      </c>
      <c r="M12" s="97"/>
      <c r="T12" s="69" t="s">
        <v>117</v>
      </c>
      <c r="U12">
        <v>0</v>
      </c>
      <c r="X12" s="85">
        <f t="shared" si="12"/>
        <v>2017</v>
      </c>
      <c r="Y12" s="84">
        <f t="shared" ca="1" si="13"/>
        <v>4536</v>
      </c>
      <c r="Z12" s="84">
        <f t="shared" ca="1" si="14"/>
        <v>771</v>
      </c>
      <c r="AA12" s="84">
        <f t="shared" ca="1" si="15"/>
        <v>233</v>
      </c>
      <c r="AB12" s="84">
        <f t="shared" ca="1" si="16"/>
        <v>1766</v>
      </c>
      <c r="AC12" s="84">
        <f t="shared" ca="1" si="17"/>
        <v>789</v>
      </c>
      <c r="AD12" s="84">
        <f t="shared" ca="1" si="18"/>
        <v>296</v>
      </c>
      <c r="AE12" s="84">
        <f t="shared" ca="1" si="19"/>
        <v>2997</v>
      </c>
      <c r="AF12" s="84">
        <f t="shared" ca="1" si="20"/>
        <v>8680</v>
      </c>
      <c r="AG12" s="84">
        <f t="shared" ca="1" si="21"/>
        <v>14070</v>
      </c>
      <c r="AH12" s="84">
        <f t="shared" ca="1" si="22"/>
        <v>4151</v>
      </c>
      <c r="AI12" s="84">
        <f t="shared" ca="1" si="23"/>
        <v>1362</v>
      </c>
      <c r="AJ12" s="84">
        <f t="shared" ca="1" si="24"/>
        <v>1379</v>
      </c>
      <c r="AK12" s="84">
        <f t="shared" ca="1" si="25"/>
        <v>77258</v>
      </c>
      <c r="AL12" s="105">
        <f t="shared" ca="1" si="30"/>
        <v>118288</v>
      </c>
      <c r="AN12">
        <f t="shared" si="31"/>
        <v>2017</v>
      </c>
      <c r="AO12" s="21">
        <f t="shared" ca="1" si="50"/>
        <v>5.2192066805845538E-2</v>
      </c>
      <c r="AP12" s="21">
        <f t="shared" ca="1" si="51"/>
        <v>3.2128514056224855E-2</v>
      </c>
      <c r="AQ12" s="21">
        <f t="shared" ca="1" si="51"/>
        <v>0.24598930481283432</v>
      </c>
      <c r="AR12" s="21">
        <f t="shared" ca="1" si="51"/>
        <v>2.7939464493597299E-2</v>
      </c>
      <c r="AS12" s="21">
        <f t="shared" ca="1" si="51"/>
        <v>0.10349650349650341</v>
      </c>
      <c r="AT12" s="21">
        <f t="shared" ca="1" si="51"/>
        <v>6.0931899641577081E-2</v>
      </c>
      <c r="AU12" s="21">
        <f t="shared" ca="1" si="51"/>
        <v>3.4875690607734766E-2</v>
      </c>
      <c r="AV12" s="21">
        <f t="shared" ca="1" si="51"/>
        <v>5.8923996584116178E-2</v>
      </c>
      <c r="AW12" s="21">
        <f t="shared" ca="1" si="51"/>
        <v>6.1726531844249921E-2</v>
      </c>
      <c r="AX12" s="21">
        <f t="shared" ca="1" si="51"/>
        <v>8.0708148919552247E-2</v>
      </c>
      <c r="AY12" s="21">
        <f t="shared" ca="1" si="51"/>
        <v>7.6679841897233203E-2</v>
      </c>
      <c r="AZ12" s="21">
        <f t="shared" ca="1" si="51"/>
        <v>5.5895865237366005E-2</v>
      </c>
      <c r="BA12" s="21">
        <f t="shared" ca="1" si="51"/>
        <v>5.9402682170967891E-2</v>
      </c>
      <c r="BC12">
        <f t="shared" si="9"/>
        <v>2017</v>
      </c>
      <c r="BD12" s="84">
        <f t="shared" ca="1" si="33"/>
        <v>0</v>
      </c>
      <c r="BE12" s="84">
        <f t="shared" ca="1" si="26"/>
        <v>0</v>
      </c>
      <c r="BF12" s="84">
        <f t="shared" ca="1" si="26"/>
        <v>351</v>
      </c>
      <c r="BG12" s="84">
        <f t="shared" ca="1" si="26"/>
        <v>2682</v>
      </c>
      <c r="BH12" s="84">
        <f t="shared" ca="1" si="26"/>
        <v>2313</v>
      </c>
      <c r="BI12" s="84">
        <f t="shared" ca="1" si="26"/>
        <v>1840</v>
      </c>
      <c r="BJ12" s="84">
        <f t="shared" ca="1" si="26"/>
        <v>0</v>
      </c>
      <c r="BK12" s="84">
        <f t="shared" ca="1" si="26"/>
        <v>0</v>
      </c>
      <c r="BL12" s="84">
        <f t="shared" ca="1" si="26"/>
        <v>1971</v>
      </c>
      <c r="BM12" s="84">
        <f t="shared" ca="1" si="26"/>
        <v>0</v>
      </c>
      <c r="BN12" s="84">
        <f t="shared" ca="1" si="26"/>
        <v>0</v>
      </c>
      <c r="BO12" s="84">
        <f t="shared" ca="1" si="26"/>
        <v>0</v>
      </c>
      <c r="BP12" s="84">
        <f t="shared" ca="1" si="26"/>
        <v>0</v>
      </c>
      <c r="BQ12" s="84">
        <f t="shared" ca="1" si="34"/>
        <v>9157</v>
      </c>
      <c r="BS12">
        <f t="shared" si="27"/>
        <v>2017</v>
      </c>
      <c r="BT12" s="84">
        <f t="shared" ca="1" si="35"/>
        <v>4536</v>
      </c>
      <c r="BU12" s="84">
        <f t="shared" ca="1" si="36"/>
        <v>771</v>
      </c>
      <c r="BV12" s="84">
        <f t="shared" ca="1" si="37"/>
        <v>584</v>
      </c>
      <c r="BW12" s="84">
        <f t="shared" ca="1" si="38"/>
        <v>4448</v>
      </c>
      <c r="BX12" s="84">
        <f t="shared" ca="1" si="39"/>
        <v>3102</v>
      </c>
      <c r="BY12" s="84">
        <f t="shared" ca="1" si="40"/>
        <v>2136</v>
      </c>
      <c r="BZ12" s="84">
        <f t="shared" ca="1" si="41"/>
        <v>2997</v>
      </c>
      <c r="CA12" s="84">
        <f t="shared" ca="1" si="42"/>
        <v>8680</v>
      </c>
      <c r="CB12" s="84">
        <f t="shared" ca="1" si="43"/>
        <v>16041</v>
      </c>
      <c r="CC12" s="84">
        <f t="shared" ca="1" si="44"/>
        <v>4151</v>
      </c>
      <c r="CD12" s="84">
        <f t="shared" ca="1" si="45"/>
        <v>1362</v>
      </c>
      <c r="CE12" s="84">
        <f t="shared" ca="1" si="46"/>
        <v>1379</v>
      </c>
      <c r="CF12" s="84">
        <f t="shared" ca="1" si="47"/>
        <v>77258</v>
      </c>
      <c r="CG12" s="84">
        <f t="shared" ca="1" si="48"/>
        <v>127445</v>
      </c>
      <c r="CH12" s="21">
        <f t="shared" ca="1" si="49"/>
        <v>6.1537436384384137E-2</v>
      </c>
    </row>
    <row r="13" spans="1:99" x14ac:dyDescent="0.25">
      <c r="B13">
        <f t="shared" si="29"/>
        <v>9</v>
      </c>
      <c r="C13" s="89">
        <v>2019</v>
      </c>
      <c r="D13" s="69">
        <v>5026</v>
      </c>
      <c r="E13" s="69">
        <v>4417</v>
      </c>
      <c r="F13" s="69">
        <v>5529</v>
      </c>
      <c r="I13" s="89">
        <v>2019</v>
      </c>
      <c r="J13" s="69">
        <v>844</v>
      </c>
      <c r="K13" s="69">
        <v>741</v>
      </c>
      <c r="L13" s="69">
        <v>928</v>
      </c>
      <c r="M13" s="97"/>
      <c r="T13" s="69" t="s">
        <v>118</v>
      </c>
      <c r="U13">
        <v>0</v>
      </c>
      <c r="X13" s="85">
        <f t="shared" si="12"/>
        <v>2018</v>
      </c>
      <c r="Y13" s="84">
        <f t="shared" ca="1" si="13"/>
        <v>4774</v>
      </c>
      <c r="Z13" s="84">
        <f t="shared" ca="1" si="14"/>
        <v>796</v>
      </c>
      <c r="AA13" s="84">
        <f t="shared" ca="1" si="15"/>
        <v>281</v>
      </c>
      <c r="AB13" s="84">
        <f t="shared" ca="1" si="16"/>
        <v>1819</v>
      </c>
      <c r="AC13" s="84">
        <f t="shared" ca="1" si="17"/>
        <v>828</v>
      </c>
      <c r="AD13" s="84">
        <f t="shared" ca="1" si="18"/>
        <v>314</v>
      </c>
      <c r="AE13" s="84">
        <f t="shared" ca="1" si="19"/>
        <v>3153</v>
      </c>
      <c r="AF13" s="84">
        <f t="shared" ca="1" si="20"/>
        <v>9182</v>
      </c>
      <c r="AG13" s="84">
        <f t="shared" ca="1" si="21"/>
        <v>14941</v>
      </c>
      <c r="AH13" s="84">
        <f t="shared" ca="1" si="22"/>
        <v>4478</v>
      </c>
      <c r="AI13" s="84">
        <f t="shared" ca="1" si="23"/>
        <v>1466</v>
      </c>
      <c r="AJ13" s="84">
        <f t="shared" ca="1" si="24"/>
        <v>1454</v>
      </c>
      <c r="AK13" s="84">
        <f t="shared" ca="1" si="25"/>
        <v>81856</v>
      </c>
      <c r="AL13" s="105">
        <f t="shared" ca="1" si="30"/>
        <v>125342</v>
      </c>
      <c r="AN13">
        <f t="shared" si="31"/>
        <v>2018</v>
      </c>
      <c r="AO13" s="21">
        <f t="shared" ca="1" si="50"/>
        <v>5.2469135802469147E-2</v>
      </c>
      <c r="AP13" s="21">
        <f t="shared" ca="1" si="51"/>
        <v>3.2425421530480003E-2</v>
      </c>
      <c r="AQ13" s="21">
        <f t="shared" ca="1" si="51"/>
        <v>0.20600858369098707</v>
      </c>
      <c r="AR13" s="21">
        <f t="shared" ca="1" si="51"/>
        <v>3.0011325028312497E-2</v>
      </c>
      <c r="AS13" s="21">
        <f t="shared" ca="1" si="51"/>
        <v>4.9429657794676896E-2</v>
      </c>
      <c r="AT13" s="21">
        <f t="shared" ca="1" si="51"/>
        <v>6.0810810810810745E-2</v>
      </c>
      <c r="AU13" s="21">
        <f t="shared" ca="1" si="51"/>
        <v>5.2052052052051989E-2</v>
      </c>
      <c r="AV13" s="21">
        <f t="shared" ca="1" si="51"/>
        <v>5.7834101382488567E-2</v>
      </c>
      <c r="AW13" s="21">
        <f t="shared" ca="1" si="51"/>
        <v>6.1904761904761907E-2</v>
      </c>
      <c r="AX13" s="21">
        <f t="shared" ca="1" si="51"/>
        <v>7.8776198506383954E-2</v>
      </c>
      <c r="AY13" s="21">
        <f t="shared" ca="1" si="51"/>
        <v>7.6358296622613731E-2</v>
      </c>
      <c r="AZ13" s="21">
        <f t="shared" ca="1" si="51"/>
        <v>5.4387237128353805E-2</v>
      </c>
      <c r="BA13" s="21">
        <f t="shared" ca="1" si="51"/>
        <v>5.9514872246239969E-2</v>
      </c>
      <c r="BC13">
        <f t="shared" si="9"/>
        <v>2018</v>
      </c>
      <c r="BD13" s="84">
        <f t="shared" ca="1" si="33"/>
        <v>0</v>
      </c>
      <c r="BE13" s="84">
        <f t="shared" ca="1" si="26"/>
        <v>0</v>
      </c>
      <c r="BF13" s="84">
        <f t="shared" ca="1" si="26"/>
        <v>351</v>
      </c>
      <c r="BG13" s="84">
        <f t="shared" ca="1" si="26"/>
        <v>2723</v>
      </c>
      <c r="BH13" s="84">
        <f t="shared" ca="1" si="26"/>
        <v>3013</v>
      </c>
      <c r="BI13" s="84">
        <f t="shared" ca="1" si="26"/>
        <v>1840</v>
      </c>
      <c r="BJ13" s="84">
        <f t="shared" ca="1" si="26"/>
        <v>0</v>
      </c>
      <c r="BK13" s="84">
        <f t="shared" ca="1" si="26"/>
        <v>0</v>
      </c>
      <c r="BL13" s="84">
        <f t="shared" ca="1" si="26"/>
        <v>1971</v>
      </c>
      <c r="BM13" s="84">
        <f t="shared" ca="1" si="26"/>
        <v>0</v>
      </c>
      <c r="BN13" s="84">
        <f t="shared" ca="1" si="26"/>
        <v>0</v>
      </c>
      <c r="BO13" s="84">
        <f t="shared" ca="1" si="26"/>
        <v>0</v>
      </c>
      <c r="BP13" s="84">
        <f t="shared" ca="1" si="26"/>
        <v>0</v>
      </c>
      <c r="BQ13" s="84">
        <f t="shared" ca="1" si="34"/>
        <v>9898</v>
      </c>
      <c r="BS13">
        <f t="shared" si="27"/>
        <v>2018</v>
      </c>
      <c r="BT13" s="84">
        <f t="shared" ca="1" si="35"/>
        <v>4774</v>
      </c>
      <c r="BU13" s="84">
        <f t="shared" ca="1" si="36"/>
        <v>796</v>
      </c>
      <c r="BV13" s="84">
        <f t="shared" ca="1" si="37"/>
        <v>632</v>
      </c>
      <c r="BW13" s="84">
        <f t="shared" ca="1" si="38"/>
        <v>4542</v>
      </c>
      <c r="BX13" s="84">
        <f t="shared" ca="1" si="39"/>
        <v>3841</v>
      </c>
      <c r="BY13" s="84">
        <f t="shared" ca="1" si="40"/>
        <v>2154</v>
      </c>
      <c r="BZ13" s="84">
        <f t="shared" ca="1" si="41"/>
        <v>3153</v>
      </c>
      <c r="CA13" s="84">
        <f t="shared" ca="1" si="42"/>
        <v>9182</v>
      </c>
      <c r="CB13" s="84">
        <f t="shared" ca="1" si="43"/>
        <v>16912</v>
      </c>
      <c r="CC13" s="84">
        <f t="shared" ca="1" si="44"/>
        <v>4478</v>
      </c>
      <c r="CD13" s="84">
        <f t="shared" ca="1" si="45"/>
        <v>1466</v>
      </c>
      <c r="CE13" s="84">
        <f t="shared" ca="1" si="46"/>
        <v>1454</v>
      </c>
      <c r="CF13" s="84">
        <f t="shared" ca="1" si="47"/>
        <v>81856</v>
      </c>
      <c r="CG13" s="84">
        <f t="shared" ca="1" si="48"/>
        <v>135240</v>
      </c>
      <c r="CH13" s="21">
        <f t="shared" ca="1" si="49"/>
        <v>6.1163639216917032E-2</v>
      </c>
    </row>
    <row r="14" spans="1:99" x14ac:dyDescent="0.25">
      <c r="B14">
        <f t="shared" si="29"/>
        <v>10</v>
      </c>
      <c r="C14" s="89">
        <v>2020</v>
      </c>
      <c r="D14" s="69">
        <v>5306</v>
      </c>
      <c r="E14" s="69">
        <v>4623</v>
      </c>
      <c r="F14" s="69">
        <v>5871</v>
      </c>
      <c r="I14" s="89">
        <v>2020</v>
      </c>
      <c r="J14" s="69">
        <v>891</v>
      </c>
      <c r="K14" s="69">
        <v>776</v>
      </c>
      <c r="L14" s="69">
        <v>986</v>
      </c>
      <c r="M14" s="97"/>
      <c r="T14" s="69" t="s">
        <v>119</v>
      </c>
      <c r="U14">
        <v>0</v>
      </c>
      <c r="X14" s="85">
        <f t="shared" si="12"/>
        <v>2019</v>
      </c>
      <c r="Y14" s="84">
        <f t="shared" ca="1" si="13"/>
        <v>5026</v>
      </c>
      <c r="Z14" s="84">
        <f t="shared" ca="1" si="14"/>
        <v>821</v>
      </c>
      <c r="AA14" s="84">
        <f t="shared" ca="1" si="15"/>
        <v>332</v>
      </c>
      <c r="AB14" s="84">
        <f t="shared" ca="1" si="16"/>
        <v>1875</v>
      </c>
      <c r="AC14" s="84">
        <f t="shared" ca="1" si="17"/>
        <v>868</v>
      </c>
      <c r="AD14" s="84">
        <f t="shared" ca="1" si="18"/>
        <v>334</v>
      </c>
      <c r="AE14" s="84">
        <f t="shared" ca="1" si="19"/>
        <v>3248</v>
      </c>
      <c r="AF14" s="84">
        <f t="shared" ca="1" si="20"/>
        <v>9703</v>
      </c>
      <c r="AG14" s="84">
        <f t="shared" ca="1" si="21"/>
        <v>15869</v>
      </c>
      <c r="AH14" s="84">
        <f t="shared" ca="1" si="22"/>
        <v>4822</v>
      </c>
      <c r="AI14" s="84">
        <f t="shared" ca="1" si="23"/>
        <v>1576</v>
      </c>
      <c r="AJ14" s="84">
        <f t="shared" ca="1" si="24"/>
        <v>1530</v>
      </c>
      <c r="AK14" s="84">
        <f t="shared" ca="1" si="25"/>
        <v>86717</v>
      </c>
      <c r="AL14" s="105">
        <f t="shared" ca="1" si="30"/>
        <v>132721</v>
      </c>
      <c r="AN14">
        <f t="shared" si="31"/>
        <v>2019</v>
      </c>
      <c r="AO14" s="21">
        <f t="shared" ca="1" si="50"/>
        <v>5.2785923753665642E-2</v>
      </c>
      <c r="AP14" s="21">
        <f t="shared" ca="1" si="51"/>
        <v>3.1407035175879505E-2</v>
      </c>
      <c r="AQ14" s="21">
        <f t="shared" ca="1" si="51"/>
        <v>0.18149466192170816</v>
      </c>
      <c r="AR14" s="21">
        <f t="shared" ca="1" si="51"/>
        <v>3.0786146234194511E-2</v>
      </c>
      <c r="AS14" s="21">
        <f t="shared" ca="1" si="51"/>
        <v>4.8309178743961345E-2</v>
      </c>
      <c r="AT14" s="21">
        <f t="shared" ca="1" si="51"/>
        <v>6.3694267515923553E-2</v>
      </c>
      <c r="AU14" s="21">
        <f t="shared" ca="1" si="51"/>
        <v>3.013003488740873E-2</v>
      </c>
      <c r="AV14" s="21">
        <f t="shared" ca="1" si="51"/>
        <v>5.6741450664343329E-2</v>
      </c>
      <c r="AW14" s="21">
        <f t="shared" ca="1" si="51"/>
        <v>6.2110969814604067E-2</v>
      </c>
      <c r="AX14" s="21">
        <f t="shared" ca="1" si="51"/>
        <v>7.6820008932559247E-2</v>
      </c>
      <c r="AY14" s="21">
        <f t="shared" ca="1" si="51"/>
        <v>7.5034106412005475E-2</v>
      </c>
      <c r="AZ14" s="21">
        <f t="shared" ca="1" si="51"/>
        <v>5.2269601100412677E-2</v>
      </c>
      <c r="BA14" s="21">
        <f t="shared" ca="1" si="51"/>
        <v>5.9384773260359625E-2</v>
      </c>
      <c r="BC14">
        <f t="shared" si="9"/>
        <v>2019</v>
      </c>
      <c r="BD14" s="84">
        <f t="shared" ca="1" si="33"/>
        <v>0</v>
      </c>
      <c r="BE14" s="84">
        <f t="shared" ca="1" si="26"/>
        <v>0</v>
      </c>
      <c r="BF14" s="84">
        <f t="shared" ca="1" si="26"/>
        <v>351</v>
      </c>
      <c r="BG14" s="84">
        <f t="shared" ca="1" si="26"/>
        <v>4864</v>
      </c>
      <c r="BH14" s="84">
        <f t="shared" ca="1" si="26"/>
        <v>4135</v>
      </c>
      <c r="BI14" s="84">
        <f t="shared" ca="1" si="26"/>
        <v>1840</v>
      </c>
      <c r="BJ14" s="84">
        <f t="shared" ca="1" si="26"/>
        <v>0</v>
      </c>
      <c r="BK14" s="84">
        <f t="shared" ca="1" si="26"/>
        <v>0</v>
      </c>
      <c r="BL14" s="84">
        <f t="shared" ca="1" si="26"/>
        <v>1971</v>
      </c>
      <c r="BM14" s="84">
        <f t="shared" ca="1" si="26"/>
        <v>0</v>
      </c>
      <c r="BN14" s="84">
        <f t="shared" ca="1" si="26"/>
        <v>0</v>
      </c>
      <c r="BO14" s="84">
        <f t="shared" ca="1" si="26"/>
        <v>0</v>
      </c>
      <c r="BP14" s="84">
        <f t="shared" ca="1" si="26"/>
        <v>0</v>
      </c>
      <c r="BQ14" s="84">
        <f t="shared" ca="1" si="34"/>
        <v>13161</v>
      </c>
      <c r="BS14">
        <f t="shared" si="27"/>
        <v>2019</v>
      </c>
      <c r="BT14" s="84">
        <f t="shared" ca="1" si="35"/>
        <v>5026</v>
      </c>
      <c r="BU14" s="84">
        <f t="shared" ca="1" si="36"/>
        <v>821</v>
      </c>
      <c r="BV14" s="84">
        <f t="shared" ca="1" si="37"/>
        <v>683</v>
      </c>
      <c r="BW14" s="84">
        <f t="shared" ca="1" si="38"/>
        <v>6739</v>
      </c>
      <c r="BX14" s="84">
        <f t="shared" ca="1" si="39"/>
        <v>5003</v>
      </c>
      <c r="BY14" s="84">
        <f t="shared" ca="1" si="40"/>
        <v>2174</v>
      </c>
      <c r="BZ14" s="84">
        <f t="shared" ca="1" si="41"/>
        <v>3248</v>
      </c>
      <c r="CA14" s="84">
        <f t="shared" ca="1" si="42"/>
        <v>9703</v>
      </c>
      <c r="CB14" s="84">
        <f t="shared" ca="1" si="43"/>
        <v>17840</v>
      </c>
      <c r="CC14" s="84">
        <f t="shared" ca="1" si="44"/>
        <v>4822</v>
      </c>
      <c r="CD14" s="84">
        <f t="shared" ca="1" si="45"/>
        <v>1576</v>
      </c>
      <c r="CE14" s="84">
        <f t="shared" ca="1" si="46"/>
        <v>1530</v>
      </c>
      <c r="CF14" s="84">
        <f t="shared" ca="1" si="47"/>
        <v>86717</v>
      </c>
      <c r="CG14" s="84">
        <f t="shared" ca="1" si="48"/>
        <v>145882</v>
      </c>
      <c r="CH14" s="21">
        <f t="shared" ca="1" si="49"/>
        <v>7.8689736764270934E-2</v>
      </c>
    </row>
    <row r="15" spans="1:99" x14ac:dyDescent="0.25">
      <c r="B15">
        <f t="shared" si="29"/>
        <v>11</v>
      </c>
      <c r="C15" s="89">
        <v>2021</v>
      </c>
      <c r="D15" s="69">
        <v>5624</v>
      </c>
      <c r="E15" s="69">
        <v>4853</v>
      </c>
      <c r="F15" s="69">
        <v>6262</v>
      </c>
      <c r="I15" s="89">
        <v>2021</v>
      </c>
      <c r="J15" s="69">
        <v>944</v>
      </c>
      <c r="K15" s="69">
        <v>815</v>
      </c>
      <c r="L15" s="69">
        <v>1051</v>
      </c>
      <c r="M15" s="97"/>
      <c r="T15" s="69" t="s">
        <v>120</v>
      </c>
      <c r="U15">
        <v>0</v>
      </c>
      <c r="X15" s="85">
        <f t="shared" si="12"/>
        <v>2020</v>
      </c>
      <c r="Y15" s="84">
        <f t="shared" ca="1" si="13"/>
        <v>5306</v>
      </c>
      <c r="Z15" s="84">
        <f t="shared" ca="1" si="14"/>
        <v>847</v>
      </c>
      <c r="AA15" s="84">
        <f t="shared" ca="1" si="15"/>
        <v>385</v>
      </c>
      <c r="AB15" s="84">
        <f t="shared" ca="1" si="16"/>
        <v>1937</v>
      </c>
      <c r="AC15" s="84">
        <f t="shared" ca="1" si="17"/>
        <v>907</v>
      </c>
      <c r="AD15" s="84">
        <f t="shared" ca="1" si="18"/>
        <v>355</v>
      </c>
      <c r="AE15" s="84">
        <f t="shared" ca="1" si="19"/>
        <v>3398</v>
      </c>
      <c r="AF15" s="84">
        <f t="shared" ca="1" si="20"/>
        <v>10244</v>
      </c>
      <c r="AG15" s="84">
        <f t="shared" ca="1" si="21"/>
        <v>16857</v>
      </c>
      <c r="AH15" s="84">
        <f t="shared" ca="1" si="22"/>
        <v>5185</v>
      </c>
      <c r="AI15" s="84">
        <f t="shared" ca="1" si="23"/>
        <v>1694</v>
      </c>
      <c r="AJ15" s="84">
        <f t="shared" ca="1" si="24"/>
        <v>1609</v>
      </c>
      <c r="AK15" s="84">
        <f t="shared" ca="1" si="25"/>
        <v>91873</v>
      </c>
      <c r="AL15" s="105">
        <f t="shared" ca="1" si="30"/>
        <v>140597</v>
      </c>
      <c r="AN15">
        <f t="shared" si="31"/>
        <v>2020</v>
      </c>
      <c r="AO15" s="21">
        <f t="shared" ca="1" si="50"/>
        <v>5.5710306406685284E-2</v>
      </c>
      <c r="AP15" s="21">
        <f t="shared" ca="1" si="51"/>
        <v>3.1668696711327549E-2</v>
      </c>
      <c r="AQ15" s="21">
        <f t="shared" ca="1" si="51"/>
        <v>0.15963855421686746</v>
      </c>
      <c r="AR15" s="21">
        <f t="shared" ca="1" si="51"/>
        <v>3.3066666666666578E-2</v>
      </c>
      <c r="AS15" s="21">
        <f t="shared" ca="1" si="51"/>
        <v>4.4930875576036922E-2</v>
      </c>
      <c r="AT15" s="21">
        <f t="shared" ca="1" si="51"/>
        <v>6.2874251497005984E-2</v>
      </c>
      <c r="AU15" s="21">
        <f t="shared" ca="1" si="51"/>
        <v>4.6182266009852313E-2</v>
      </c>
      <c r="AV15" s="21">
        <f t="shared" ca="1" si="51"/>
        <v>5.5755951767494594E-2</v>
      </c>
      <c r="AW15" s="21">
        <f t="shared" ca="1" si="51"/>
        <v>6.2259751717184342E-2</v>
      </c>
      <c r="AX15" s="21">
        <f t="shared" ca="1" si="51"/>
        <v>7.5279966818747379E-2</v>
      </c>
      <c r="AY15" s="21">
        <f t="shared" ca="1" si="51"/>
        <v>7.4873096446700593E-2</v>
      </c>
      <c r="AZ15" s="21">
        <f t="shared" ca="1" si="51"/>
        <v>5.1633986928104614E-2</v>
      </c>
      <c r="BA15" s="21">
        <f t="shared" ca="1" si="51"/>
        <v>5.9457776445218435E-2</v>
      </c>
      <c r="BC15">
        <f t="shared" si="9"/>
        <v>2020</v>
      </c>
      <c r="BD15" s="84">
        <f t="shared" ca="1" si="33"/>
        <v>0</v>
      </c>
      <c r="BE15" s="84">
        <f t="shared" ca="1" si="26"/>
        <v>0</v>
      </c>
      <c r="BF15" s="84">
        <f t="shared" ca="1" si="26"/>
        <v>701</v>
      </c>
      <c r="BG15" s="84">
        <f t="shared" ca="1" si="26"/>
        <v>4936</v>
      </c>
      <c r="BH15" s="84">
        <f t="shared" ca="1" si="26"/>
        <v>5256</v>
      </c>
      <c r="BI15" s="84">
        <f t="shared" ca="1" si="26"/>
        <v>1840</v>
      </c>
      <c r="BJ15" s="84">
        <f t="shared" ca="1" si="26"/>
        <v>0</v>
      </c>
      <c r="BK15" s="84">
        <f t="shared" ca="1" si="26"/>
        <v>0</v>
      </c>
      <c r="BL15" s="84">
        <f t="shared" ca="1" si="26"/>
        <v>1971</v>
      </c>
      <c r="BM15" s="84">
        <f t="shared" ca="1" si="26"/>
        <v>0</v>
      </c>
      <c r="BN15" s="84">
        <f t="shared" ca="1" si="26"/>
        <v>0</v>
      </c>
      <c r="BO15" s="84">
        <f t="shared" ca="1" si="26"/>
        <v>0</v>
      </c>
      <c r="BP15" s="84">
        <f t="shared" ca="1" si="26"/>
        <v>0</v>
      </c>
      <c r="BQ15" s="84">
        <f t="shared" ca="1" si="34"/>
        <v>14704</v>
      </c>
      <c r="BS15">
        <f t="shared" si="27"/>
        <v>2020</v>
      </c>
      <c r="BT15" s="84">
        <f t="shared" ca="1" si="35"/>
        <v>5306</v>
      </c>
      <c r="BU15" s="84">
        <f t="shared" ca="1" si="36"/>
        <v>847</v>
      </c>
      <c r="BV15" s="84">
        <f t="shared" ca="1" si="37"/>
        <v>1086</v>
      </c>
      <c r="BW15" s="84">
        <f t="shared" ca="1" si="38"/>
        <v>6873</v>
      </c>
      <c r="BX15" s="84">
        <f t="shared" ca="1" si="39"/>
        <v>6163</v>
      </c>
      <c r="BY15" s="84">
        <f t="shared" ca="1" si="40"/>
        <v>2195</v>
      </c>
      <c r="BZ15" s="84">
        <f t="shared" ca="1" si="41"/>
        <v>3398</v>
      </c>
      <c r="CA15" s="84">
        <f t="shared" ca="1" si="42"/>
        <v>10244</v>
      </c>
      <c r="CB15" s="84">
        <f t="shared" ca="1" si="43"/>
        <v>18828</v>
      </c>
      <c r="CC15" s="84">
        <f t="shared" ca="1" si="44"/>
        <v>5185</v>
      </c>
      <c r="CD15" s="84">
        <f t="shared" ca="1" si="45"/>
        <v>1694</v>
      </c>
      <c r="CE15" s="84">
        <f t="shared" ca="1" si="46"/>
        <v>1609</v>
      </c>
      <c r="CF15" s="84">
        <f t="shared" ca="1" si="47"/>
        <v>91873</v>
      </c>
      <c r="CG15" s="84">
        <f t="shared" ca="1" si="48"/>
        <v>155301</v>
      </c>
      <c r="CH15" s="21">
        <f t="shared" ca="1" si="49"/>
        <v>6.4565882014230747E-2</v>
      </c>
    </row>
    <row r="16" spans="1:99" x14ac:dyDescent="0.25">
      <c r="B16">
        <f t="shared" si="29"/>
        <v>12</v>
      </c>
      <c r="C16" s="89">
        <v>2022</v>
      </c>
      <c r="D16" s="69">
        <v>5933</v>
      </c>
      <c r="E16" s="69">
        <v>5074</v>
      </c>
      <c r="F16" s="69">
        <v>6646</v>
      </c>
      <c r="I16" s="89">
        <v>2022</v>
      </c>
      <c r="J16" s="69">
        <v>996</v>
      </c>
      <c r="K16" s="69">
        <v>852</v>
      </c>
      <c r="L16" s="69">
        <v>1116</v>
      </c>
      <c r="M16" s="97"/>
      <c r="T16" s="69" t="s">
        <v>121</v>
      </c>
      <c r="U16">
        <v>0</v>
      </c>
      <c r="X16" s="85">
        <f t="shared" si="12"/>
        <v>2021</v>
      </c>
      <c r="Y16" s="84">
        <f t="shared" ca="1" si="13"/>
        <v>5624</v>
      </c>
      <c r="Z16" s="84">
        <f t="shared" ca="1" si="14"/>
        <v>879</v>
      </c>
      <c r="AA16" s="84">
        <f t="shared" ca="1" si="15"/>
        <v>441</v>
      </c>
      <c r="AB16" s="84">
        <f t="shared" ca="1" si="16"/>
        <v>2032</v>
      </c>
      <c r="AC16" s="84">
        <f t="shared" ca="1" si="17"/>
        <v>957</v>
      </c>
      <c r="AD16" s="84">
        <f t="shared" ca="1" si="18"/>
        <v>378</v>
      </c>
      <c r="AE16" s="84">
        <f t="shared" ca="1" si="19"/>
        <v>3567</v>
      </c>
      <c r="AF16" s="84">
        <f t="shared" ca="1" si="20"/>
        <v>10807</v>
      </c>
      <c r="AG16" s="84">
        <f t="shared" ca="1" si="21"/>
        <v>17908</v>
      </c>
      <c r="AH16" s="84">
        <f t="shared" ca="1" si="22"/>
        <v>5567</v>
      </c>
      <c r="AI16" s="84">
        <f t="shared" ca="1" si="23"/>
        <v>1820</v>
      </c>
      <c r="AJ16" s="84">
        <f t="shared" ca="1" si="24"/>
        <v>1691</v>
      </c>
      <c r="AK16" s="84">
        <f t="shared" ca="1" si="25"/>
        <v>98732</v>
      </c>
      <c r="AL16" s="105">
        <f t="shared" ca="1" si="30"/>
        <v>150403</v>
      </c>
      <c r="AN16">
        <f t="shared" si="31"/>
        <v>2021</v>
      </c>
      <c r="AO16" s="21">
        <f t="shared" ca="1" si="50"/>
        <v>5.9932152280437245E-2</v>
      </c>
      <c r="AP16" s="21">
        <f t="shared" ca="1" si="51"/>
        <v>3.7780401416765086E-2</v>
      </c>
      <c r="AQ16" s="21">
        <f t="shared" ca="1" si="51"/>
        <v>0.1454545454545455</v>
      </c>
      <c r="AR16" s="21">
        <f t="shared" ca="1" si="51"/>
        <v>4.9044914816726903E-2</v>
      </c>
      <c r="AS16" s="21">
        <f t="shared" ca="1" si="51"/>
        <v>5.5126791620727644E-2</v>
      </c>
      <c r="AT16" s="21">
        <f t="shared" ca="1" si="51"/>
        <v>6.4788732394366111E-2</v>
      </c>
      <c r="AU16" s="21">
        <f t="shared" ca="1" si="51"/>
        <v>4.9735138316656879E-2</v>
      </c>
      <c r="AV16" s="21">
        <f t="shared" ca="1" si="51"/>
        <v>5.4959000390472523E-2</v>
      </c>
      <c r="AW16" s="21">
        <f t="shared" ca="1" si="51"/>
        <v>6.234798599988145E-2</v>
      </c>
      <c r="AX16" s="21">
        <f t="shared" ca="1" si="51"/>
        <v>7.3674059787849577E-2</v>
      </c>
      <c r="AY16" s="21">
        <f t="shared" ca="1" si="51"/>
        <v>7.4380165289256173E-2</v>
      </c>
      <c r="AZ16" s="21">
        <f t="shared" ca="1" si="51"/>
        <v>5.0963331261653311E-2</v>
      </c>
      <c r="BA16" s="21">
        <f t="shared" ca="1" si="51"/>
        <v>7.4657407508190721E-2</v>
      </c>
      <c r="BC16">
        <f t="shared" si="9"/>
        <v>2021</v>
      </c>
      <c r="BD16" s="84">
        <f ca="1">OFFSET($G$4,BD$2*18+$BC16-2010,$BC$2)</f>
        <v>0</v>
      </c>
      <c r="BE16" s="84">
        <f t="shared" ca="1" si="26"/>
        <v>0</v>
      </c>
      <c r="BF16" s="84">
        <f t="shared" ca="1" si="26"/>
        <v>701</v>
      </c>
      <c r="BG16" s="84">
        <f t="shared" ca="1" si="26"/>
        <v>5011</v>
      </c>
      <c r="BH16" s="84">
        <f t="shared" ca="1" si="26"/>
        <v>5256</v>
      </c>
      <c r="BI16" s="84">
        <f t="shared" ca="1" si="26"/>
        <v>1840</v>
      </c>
      <c r="BJ16" s="84">
        <f t="shared" ca="1" si="26"/>
        <v>0</v>
      </c>
      <c r="BK16" s="84">
        <f t="shared" ca="1" si="26"/>
        <v>0</v>
      </c>
      <c r="BL16" s="84">
        <f t="shared" ca="1" si="26"/>
        <v>1971</v>
      </c>
      <c r="BM16" s="84">
        <f t="shared" ca="1" si="26"/>
        <v>0</v>
      </c>
      <c r="BN16" s="84">
        <f t="shared" ca="1" si="26"/>
        <v>0</v>
      </c>
      <c r="BO16" s="84">
        <f t="shared" ca="1" si="26"/>
        <v>0</v>
      </c>
      <c r="BP16" s="84">
        <f t="shared" ca="1" si="26"/>
        <v>0</v>
      </c>
      <c r="BQ16" s="84">
        <f t="shared" ca="1" si="34"/>
        <v>14779</v>
      </c>
      <c r="BS16">
        <f t="shared" si="27"/>
        <v>2021</v>
      </c>
      <c r="BT16" s="84">
        <f t="shared" ca="1" si="35"/>
        <v>5624</v>
      </c>
      <c r="BU16" s="84">
        <f t="shared" ca="1" si="36"/>
        <v>879</v>
      </c>
      <c r="BV16" s="84">
        <f t="shared" ca="1" si="37"/>
        <v>1142</v>
      </c>
      <c r="BW16" s="84">
        <f t="shared" ca="1" si="38"/>
        <v>7043</v>
      </c>
      <c r="BX16" s="84">
        <f t="shared" ca="1" si="39"/>
        <v>6213</v>
      </c>
      <c r="BY16" s="84">
        <f t="shared" ca="1" si="40"/>
        <v>2218</v>
      </c>
      <c r="BZ16" s="84">
        <f t="shared" ca="1" si="41"/>
        <v>3567</v>
      </c>
      <c r="CA16" s="84">
        <f t="shared" ca="1" si="42"/>
        <v>10807</v>
      </c>
      <c r="CB16" s="84">
        <f t="shared" ca="1" si="43"/>
        <v>19879</v>
      </c>
      <c r="CC16" s="84">
        <f t="shared" ca="1" si="44"/>
        <v>5567</v>
      </c>
      <c r="CD16" s="84">
        <f t="shared" ca="1" si="45"/>
        <v>1820</v>
      </c>
      <c r="CE16" s="84">
        <f t="shared" ca="1" si="46"/>
        <v>1691</v>
      </c>
      <c r="CF16" s="84">
        <f t="shared" ca="1" si="47"/>
        <v>98732</v>
      </c>
      <c r="CG16" s="84">
        <f t="shared" ca="1" si="48"/>
        <v>165182</v>
      </c>
      <c r="CH16" s="21">
        <f t="shared" ca="1" si="49"/>
        <v>6.3624831778288593E-2</v>
      </c>
    </row>
    <row r="17" spans="1:100" x14ac:dyDescent="0.25">
      <c r="B17">
        <f t="shared" si="29"/>
        <v>13</v>
      </c>
      <c r="C17" s="89">
        <v>2023</v>
      </c>
      <c r="D17" s="69">
        <v>6261</v>
      </c>
      <c r="E17" s="69">
        <v>5306</v>
      </c>
      <c r="F17" s="69">
        <v>7058</v>
      </c>
      <c r="I17" s="89">
        <v>2023</v>
      </c>
      <c r="J17" s="69">
        <v>1051</v>
      </c>
      <c r="K17" s="69">
        <v>891</v>
      </c>
      <c r="L17" s="69">
        <v>1185</v>
      </c>
      <c r="M17" s="97"/>
      <c r="T17" s="69" t="s">
        <v>122</v>
      </c>
      <c r="U17">
        <v>0</v>
      </c>
      <c r="X17" s="85">
        <f t="shared" si="12"/>
        <v>2022</v>
      </c>
      <c r="Y17" s="84">
        <f t="shared" ca="1" si="13"/>
        <v>5933</v>
      </c>
      <c r="Z17" s="84">
        <f t="shared" ca="1" si="14"/>
        <v>912</v>
      </c>
      <c r="AA17" s="84">
        <f t="shared" ca="1" si="15"/>
        <v>465</v>
      </c>
      <c r="AB17" s="84">
        <f t="shared" ca="1" si="16"/>
        <v>2101</v>
      </c>
      <c r="AC17" s="84">
        <f t="shared" ca="1" si="17"/>
        <v>1007</v>
      </c>
      <c r="AD17" s="84">
        <f t="shared" ca="1" si="18"/>
        <v>402</v>
      </c>
      <c r="AE17" s="84">
        <f t="shared" ca="1" si="19"/>
        <v>3740</v>
      </c>
      <c r="AF17" s="84">
        <f t="shared" ca="1" si="20"/>
        <v>11391</v>
      </c>
      <c r="AG17" s="84">
        <f t="shared" ca="1" si="21"/>
        <v>19027</v>
      </c>
      <c r="AH17" s="84">
        <f t="shared" ca="1" si="22"/>
        <v>5971</v>
      </c>
      <c r="AI17" s="84">
        <f t="shared" ca="1" si="23"/>
        <v>1953</v>
      </c>
      <c r="AJ17" s="84">
        <f t="shared" ca="1" si="24"/>
        <v>1774</v>
      </c>
      <c r="AK17" s="84">
        <f t="shared" ca="1" si="25"/>
        <v>104604</v>
      </c>
      <c r="AL17" s="105">
        <f t="shared" ca="1" si="30"/>
        <v>159280</v>
      </c>
      <c r="AN17">
        <f t="shared" si="31"/>
        <v>2022</v>
      </c>
      <c r="AO17" s="21">
        <f t="shared" ca="1" si="50"/>
        <v>5.494310099573263E-2</v>
      </c>
      <c r="AP17" s="21">
        <f t="shared" ca="1" si="51"/>
        <v>3.7542662116040848E-2</v>
      </c>
      <c r="AQ17" s="21">
        <f t="shared" ca="1" si="51"/>
        <v>5.4421768707483054E-2</v>
      </c>
      <c r="AR17" s="21">
        <f t="shared" ca="1" si="51"/>
        <v>3.3956692913385877E-2</v>
      </c>
      <c r="AS17" s="21">
        <f t="shared" ca="1" si="51"/>
        <v>5.2246603970741878E-2</v>
      </c>
      <c r="AT17" s="21">
        <f t="shared" ca="1" si="51"/>
        <v>6.3492063492063489E-2</v>
      </c>
      <c r="AU17" s="21">
        <f t="shared" ca="1" si="51"/>
        <v>4.8500140173815431E-2</v>
      </c>
      <c r="AV17" s="21">
        <f t="shared" ca="1" si="51"/>
        <v>5.4039048764689568E-2</v>
      </c>
      <c r="AW17" s="21">
        <f t="shared" ca="1" si="51"/>
        <v>6.2486039758766987E-2</v>
      </c>
      <c r="AX17" s="21">
        <f t="shared" ca="1" si="51"/>
        <v>7.257050476019411E-2</v>
      </c>
      <c r="AY17" s="21">
        <f t="shared" ca="1" si="51"/>
        <v>7.3076923076923039E-2</v>
      </c>
      <c r="AZ17" s="21">
        <f t="shared" ca="1" si="51"/>
        <v>4.9083382613837934E-2</v>
      </c>
      <c r="BA17" s="21">
        <f t="shared" ca="1" si="51"/>
        <v>5.9474131993679791E-2</v>
      </c>
      <c r="BC17">
        <f t="shared" si="9"/>
        <v>2022</v>
      </c>
      <c r="BD17" s="84">
        <f t="shared" ca="1" si="33"/>
        <v>0</v>
      </c>
      <c r="BE17" s="84">
        <f t="shared" ca="1" si="26"/>
        <v>0</v>
      </c>
      <c r="BF17" s="84">
        <f t="shared" ca="1" si="26"/>
        <v>701</v>
      </c>
      <c r="BG17" s="84">
        <f t="shared" ca="1" si="26"/>
        <v>5086</v>
      </c>
      <c r="BH17" s="84">
        <f t="shared" ca="1" si="26"/>
        <v>5256</v>
      </c>
      <c r="BI17" s="84">
        <f t="shared" ca="1" si="26"/>
        <v>1840</v>
      </c>
      <c r="BJ17" s="84">
        <f t="shared" ca="1" si="26"/>
        <v>0</v>
      </c>
      <c r="BK17" s="84">
        <f t="shared" ca="1" si="26"/>
        <v>0</v>
      </c>
      <c r="BL17" s="84">
        <f t="shared" ca="1" si="26"/>
        <v>1971</v>
      </c>
      <c r="BM17" s="84">
        <f t="shared" ca="1" si="26"/>
        <v>0</v>
      </c>
      <c r="BN17" s="84">
        <f t="shared" ca="1" si="26"/>
        <v>0</v>
      </c>
      <c r="BO17" s="84">
        <f t="shared" ca="1" si="26"/>
        <v>0</v>
      </c>
      <c r="BP17" s="84">
        <f t="shared" ca="1" si="26"/>
        <v>0</v>
      </c>
      <c r="BQ17" s="84">
        <f t="shared" ca="1" si="34"/>
        <v>14854</v>
      </c>
      <c r="BS17">
        <f t="shared" si="27"/>
        <v>2022</v>
      </c>
      <c r="BT17" s="84">
        <f t="shared" ca="1" si="35"/>
        <v>5933</v>
      </c>
      <c r="BU17" s="84">
        <f t="shared" ca="1" si="36"/>
        <v>912</v>
      </c>
      <c r="BV17" s="84">
        <f t="shared" ca="1" si="37"/>
        <v>1166</v>
      </c>
      <c r="BW17" s="84">
        <f t="shared" ca="1" si="38"/>
        <v>7187</v>
      </c>
      <c r="BX17" s="84">
        <f t="shared" ca="1" si="39"/>
        <v>6263</v>
      </c>
      <c r="BY17" s="84">
        <f t="shared" ca="1" si="40"/>
        <v>2242</v>
      </c>
      <c r="BZ17" s="84">
        <f t="shared" ca="1" si="41"/>
        <v>3740</v>
      </c>
      <c r="CA17" s="84">
        <f t="shared" ca="1" si="42"/>
        <v>11391</v>
      </c>
      <c r="CB17" s="84">
        <f t="shared" ca="1" si="43"/>
        <v>20998</v>
      </c>
      <c r="CC17" s="84">
        <f t="shared" ca="1" si="44"/>
        <v>5971</v>
      </c>
      <c r="CD17" s="84">
        <f t="shared" ca="1" si="45"/>
        <v>1953</v>
      </c>
      <c r="CE17" s="84">
        <f t="shared" ca="1" si="46"/>
        <v>1774</v>
      </c>
      <c r="CF17" s="84">
        <f t="shared" ca="1" si="47"/>
        <v>104604</v>
      </c>
      <c r="CG17" s="84">
        <f t="shared" ca="1" si="48"/>
        <v>174134</v>
      </c>
      <c r="CH17" s="21">
        <f t="shared" ca="1" si="49"/>
        <v>5.419476698429615E-2</v>
      </c>
    </row>
    <row r="18" spans="1:100" x14ac:dyDescent="0.25">
      <c r="B18">
        <f t="shared" si="29"/>
        <v>14</v>
      </c>
      <c r="C18" s="89">
        <v>2024</v>
      </c>
      <c r="D18" s="69">
        <v>6611</v>
      </c>
      <c r="E18" s="69">
        <v>5549</v>
      </c>
      <c r="F18" s="69">
        <v>7499</v>
      </c>
      <c r="I18" s="89">
        <v>2024</v>
      </c>
      <c r="J18" s="69">
        <v>1110</v>
      </c>
      <c r="K18" s="69">
        <v>932</v>
      </c>
      <c r="L18" s="69">
        <v>1259</v>
      </c>
      <c r="M18" s="97"/>
      <c r="T18" s="69" t="s">
        <v>123</v>
      </c>
      <c r="U18">
        <v>0</v>
      </c>
      <c r="X18" s="85">
        <f t="shared" si="12"/>
        <v>2023</v>
      </c>
      <c r="Y18" s="84">
        <f t="shared" ca="1" si="13"/>
        <v>6261</v>
      </c>
      <c r="Z18" s="84">
        <f t="shared" ca="1" si="14"/>
        <v>945</v>
      </c>
      <c r="AA18" s="84">
        <f t="shared" ca="1" si="15"/>
        <v>491</v>
      </c>
      <c r="AB18" s="84">
        <f t="shared" ca="1" si="16"/>
        <v>2170</v>
      </c>
      <c r="AC18" s="84">
        <f t="shared" ca="1" si="17"/>
        <v>1057</v>
      </c>
      <c r="AD18" s="84">
        <f t="shared" ca="1" si="18"/>
        <v>428</v>
      </c>
      <c r="AE18" s="84">
        <f t="shared" ca="1" si="19"/>
        <v>3916</v>
      </c>
      <c r="AF18" s="84">
        <f t="shared" ca="1" si="20"/>
        <v>11998</v>
      </c>
      <c r="AG18" s="84">
        <f t="shared" ca="1" si="21"/>
        <v>20218</v>
      </c>
      <c r="AH18" s="84">
        <f t="shared" ca="1" si="22"/>
        <v>6395</v>
      </c>
      <c r="AI18" s="84">
        <f t="shared" ca="1" si="23"/>
        <v>2095</v>
      </c>
      <c r="AJ18" s="84">
        <f t="shared" ca="1" si="24"/>
        <v>1860</v>
      </c>
      <c r="AK18" s="84">
        <f t="shared" ca="1" si="25"/>
        <v>110821</v>
      </c>
      <c r="AL18" s="105">
        <f t="shared" ca="1" si="30"/>
        <v>168655</v>
      </c>
      <c r="AM18" s="94"/>
      <c r="AN18">
        <f t="shared" si="31"/>
        <v>2023</v>
      </c>
      <c r="AO18" s="21">
        <f t="shared" ca="1" si="50"/>
        <v>5.5284004719366342E-2</v>
      </c>
      <c r="AP18" s="21">
        <f t="shared" ca="1" si="51"/>
        <v>3.6184210526315708E-2</v>
      </c>
      <c r="AQ18" s="21">
        <f t="shared" ca="1" si="51"/>
        <v>5.5913978494623651E-2</v>
      </c>
      <c r="AR18" s="21">
        <f t="shared" ca="1" si="51"/>
        <v>3.2841504045692638E-2</v>
      </c>
      <c r="AS18" s="21">
        <f t="shared" ca="1" si="51"/>
        <v>4.9652432969215399E-2</v>
      </c>
      <c r="AT18" s="21">
        <f t="shared" ca="1" si="51"/>
        <v>6.4676616915422924E-2</v>
      </c>
      <c r="AU18" s="21">
        <f t="shared" ca="1" si="51"/>
        <v>4.705882352941182E-2</v>
      </c>
      <c r="AV18" s="21">
        <f t="shared" ca="1" si="51"/>
        <v>5.3287683258713026E-2</v>
      </c>
      <c r="AW18" s="21">
        <f t="shared" ca="1" si="51"/>
        <v>6.2595259368266154E-2</v>
      </c>
      <c r="AX18" s="21">
        <f t="shared" ca="1" si="51"/>
        <v>7.1009881091944393E-2</v>
      </c>
      <c r="AY18" s="21">
        <f t="shared" ca="1" si="51"/>
        <v>7.2708653353814601E-2</v>
      </c>
      <c r="AZ18" s="21">
        <f t="shared" ca="1" si="51"/>
        <v>4.8478015783540052E-2</v>
      </c>
      <c r="BA18" s="21">
        <f t="shared" ca="1" si="51"/>
        <v>5.943367366448693E-2</v>
      </c>
      <c r="BC18">
        <f t="shared" si="9"/>
        <v>2023</v>
      </c>
      <c r="BD18" s="84">
        <f t="shared" ca="1" si="33"/>
        <v>0</v>
      </c>
      <c r="BE18" s="84">
        <f t="shared" ca="1" si="26"/>
        <v>0</v>
      </c>
      <c r="BF18" s="84">
        <f t="shared" ca="1" si="26"/>
        <v>701</v>
      </c>
      <c r="BG18" s="84">
        <f t="shared" ca="1" si="26"/>
        <v>5162</v>
      </c>
      <c r="BH18" s="84">
        <f t="shared" ca="1" si="26"/>
        <v>5256</v>
      </c>
      <c r="BI18" s="84">
        <f t="shared" ca="1" si="26"/>
        <v>1840</v>
      </c>
      <c r="BJ18" s="84">
        <f t="shared" ca="1" si="26"/>
        <v>0</v>
      </c>
      <c r="BK18" s="84">
        <f t="shared" ca="1" si="26"/>
        <v>0</v>
      </c>
      <c r="BL18" s="84">
        <f t="shared" ca="1" si="26"/>
        <v>1971</v>
      </c>
      <c r="BM18" s="84">
        <f t="shared" ca="1" si="26"/>
        <v>0</v>
      </c>
      <c r="BN18" s="84">
        <f t="shared" ca="1" si="26"/>
        <v>0</v>
      </c>
      <c r="BO18" s="84">
        <f t="shared" ca="1" si="26"/>
        <v>0</v>
      </c>
      <c r="BP18" s="84">
        <f t="shared" ca="1" si="26"/>
        <v>0</v>
      </c>
      <c r="BQ18" s="84">
        <f t="shared" ca="1" si="34"/>
        <v>14930</v>
      </c>
      <c r="BS18">
        <f t="shared" si="27"/>
        <v>2023</v>
      </c>
      <c r="BT18" s="84">
        <f t="shared" ca="1" si="35"/>
        <v>6261</v>
      </c>
      <c r="BU18" s="84">
        <f t="shared" ca="1" si="36"/>
        <v>945</v>
      </c>
      <c r="BV18" s="84">
        <f t="shared" ca="1" si="37"/>
        <v>1192</v>
      </c>
      <c r="BW18" s="84">
        <f t="shared" ca="1" si="38"/>
        <v>7332</v>
      </c>
      <c r="BX18" s="84">
        <f t="shared" ca="1" si="39"/>
        <v>6313</v>
      </c>
      <c r="BY18" s="84">
        <f t="shared" ca="1" si="40"/>
        <v>2268</v>
      </c>
      <c r="BZ18" s="84">
        <f t="shared" ca="1" si="41"/>
        <v>3916</v>
      </c>
      <c r="CA18" s="84">
        <f t="shared" ca="1" si="42"/>
        <v>11998</v>
      </c>
      <c r="CB18" s="84">
        <f t="shared" ca="1" si="43"/>
        <v>22189</v>
      </c>
      <c r="CC18" s="84">
        <f t="shared" ca="1" si="44"/>
        <v>6395</v>
      </c>
      <c r="CD18" s="84">
        <f t="shared" ca="1" si="45"/>
        <v>2095</v>
      </c>
      <c r="CE18" s="84">
        <f t="shared" ca="1" si="46"/>
        <v>1860</v>
      </c>
      <c r="CF18" s="84">
        <f t="shared" ca="1" si="47"/>
        <v>110821</v>
      </c>
      <c r="CG18" s="84">
        <f t="shared" ca="1" si="48"/>
        <v>183585</v>
      </c>
      <c r="CH18" s="21">
        <f t="shared" ca="1" si="49"/>
        <v>5.4274294508826593E-2</v>
      </c>
    </row>
    <row r="19" spans="1:100" x14ac:dyDescent="0.25">
      <c r="B19">
        <f t="shared" si="29"/>
        <v>15</v>
      </c>
      <c r="C19" s="89">
        <v>2025</v>
      </c>
      <c r="D19" s="69">
        <v>6983</v>
      </c>
      <c r="E19" s="69">
        <v>5806</v>
      </c>
      <c r="F19" s="69">
        <v>7973</v>
      </c>
      <c r="I19" s="89">
        <v>2025</v>
      </c>
      <c r="J19" s="69">
        <v>1172</v>
      </c>
      <c r="K19" s="69">
        <v>975</v>
      </c>
      <c r="L19" s="69">
        <v>1338</v>
      </c>
      <c r="M19" s="97"/>
      <c r="T19" s="69" t="s">
        <v>124</v>
      </c>
      <c r="U19">
        <v>0</v>
      </c>
      <c r="X19" s="85">
        <f t="shared" si="12"/>
        <v>2024</v>
      </c>
      <c r="Y19" s="84">
        <f t="shared" ca="1" si="13"/>
        <v>6611</v>
      </c>
      <c r="Z19" s="84">
        <f t="shared" ca="1" si="14"/>
        <v>980</v>
      </c>
      <c r="AA19" s="84">
        <f t="shared" ca="1" si="15"/>
        <v>517</v>
      </c>
      <c r="AB19" s="84">
        <f t="shared" ca="1" si="16"/>
        <v>2238</v>
      </c>
      <c r="AC19" s="84">
        <f t="shared" ca="1" si="17"/>
        <v>1107</v>
      </c>
      <c r="AD19" s="84">
        <f t="shared" ca="1" si="18"/>
        <v>455</v>
      </c>
      <c r="AE19" s="84">
        <f t="shared" ca="1" si="19"/>
        <v>4097</v>
      </c>
      <c r="AF19" s="84">
        <f t="shared" ca="1" si="20"/>
        <v>12628</v>
      </c>
      <c r="AG19" s="84">
        <f t="shared" ca="1" si="21"/>
        <v>21485</v>
      </c>
      <c r="AH19" s="84">
        <f t="shared" ca="1" si="22"/>
        <v>6842</v>
      </c>
      <c r="AI19" s="84">
        <f t="shared" ca="1" si="23"/>
        <v>2247</v>
      </c>
      <c r="AJ19" s="84">
        <f t="shared" ca="1" si="24"/>
        <v>1948</v>
      </c>
      <c r="AK19" s="84">
        <f t="shared" ca="1" si="25"/>
        <v>117412</v>
      </c>
      <c r="AL19" s="105">
        <f t="shared" ca="1" si="30"/>
        <v>178567</v>
      </c>
      <c r="AN19">
        <f t="shared" si="31"/>
        <v>2024</v>
      </c>
      <c r="AO19" s="21">
        <f t="shared" ca="1" si="50"/>
        <v>5.5901613160836972E-2</v>
      </c>
      <c r="AP19" s="21">
        <f t="shared" ca="1" si="51"/>
        <v>3.7037037037036979E-2</v>
      </c>
      <c r="AQ19" s="21">
        <f t="shared" ca="1" si="51"/>
        <v>5.2953156822810543E-2</v>
      </c>
      <c r="AR19" s="21">
        <f t="shared" ca="1" si="51"/>
        <v>3.133640552995387E-2</v>
      </c>
      <c r="AS19" s="21">
        <f t="shared" ca="1" si="51"/>
        <v>4.7303689687795636E-2</v>
      </c>
      <c r="AT19" s="21">
        <f t="shared" ca="1" si="51"/>
        <v>6.308411214953269E-2</v>
      </c>
      <c r="AU19" s="21">
        <f t="shared" ca="1" si="51"/>
        <v>4.6220633299284941E-2</v>
      </c>
      <c r="AV19" s="21">
        <f t="shared" ca="1" si="51"/>
        <v>5.2508751458576475E-2</v>
      </c>
      <c r="AW19" s="21">
        <f t="shared" ca="1" si="51"/>
        <v>6.2666930458007641E-2</v>
      </c>
      <c r="AX19" s="21">
        <f t="shared" ca="1" si="51"/>
        <v>6.9898358092259638E-2</v>
      </c>
      <c r="AY19" s="21">
        <f t="shared" ca="1" si="51"/>
        <v>7.2553699284009454E-2</v>
      </c>
      <c r="AZ19" s="21">
        <f t="shared" ca="1" si="51"/>
        <v>4.7311827956989294E-2</v>
      </c>
      <c r="BA19" s="21">
        <f t="shared" ca="1" si="51"/>
        <v>5.9474287364308154E-2</v>
      </c>
      <c r="BC19">
        <f t="shared" si="9"/>
        <v>2024</v>
      </c>
      <c r="BD19" s="84">
        <f t="shared" ca="1" si="33"/>
        <v>0</v>
      </c>
      <c r="BE19" s="84">
        <f t="shared" ca="1" si="26"/>
        <v>0</v>
      </c>
      <c r="BF19" s="84">
        <f t="shared" ca="1" si="26"/>
        <v>701</v>
      </c>
      <c r="BG19" s="84">
        <f t="shared" ca="1" si="26"/>
        <v>5239</v>
      </c>
      <c r="BH19" s="84">
        <f t="shared" ca="1" si="26"/>
        <v>5256</v>
      </c>
      <c r="BI19" s="84">
        <f t="shared" ca="1" si="26"/>
        <v>1840</v>
      </c>
      <c r="BJ19" s="84">
        <f t="shared" ca="1" si="26"/>
        <v>0</v>
      </c>
      <c r="BK19" s="84">
        <f t="shared" ca="1" si="26"/>
        <v>0</v>
      </c>
      <c r="BL19" s="84">
        <f t="shared" ca="1" si="26"/>
        <v>1971</v>
      </c>
      <c r="BM19" s="84">
        <f t="shared" ca="1" si="26"/>
        <v>0</v>
      </c>
      <c r="BN19" s="84">
        <f t="shared" ca="1" si="26"/>
        <v>0</v>
      </c>
      <c r="BO19" s="84">
        <f t="shared" ca="1" si="26"/>
        <v>0</v>
      </c>
      <c r="BP19" s="84">
        <f t="shared" ca="1" si="26"/>
        <v>0</v>
      </c>
      <c r="BQ19" s="84">
        <f t="shared" ca="1" si="34"/>
        <v>15007</v>
      </c>
      <c r="BS19">
        <f t="shared" si="27"/>
        <v>2024</v>
      </c>
      <c r="BT19" s="84">
        <f t="shared" ca="1" si="35"/>
        <v>6611</v>
      </c>
      <c r="BU19" s="84">
        <f t="shared" ca="1" si="36"/>
        <v>980</v>
      </c>
      <c r="BV19" s="84">
        <f t="shared" ca="1" si="37"/>
        <v>1218</v>
      </c>
      <c r="BW19" s="84">
        <f t="shared" ca="1" si="38"/>
        <v>7477</v>
      </c>
      <c r="BX19" s="84">
        <f t="shared" ca="1" si="39"/>
        <v>6363</v>
      </c>
      <c r="BY19" s="84">
        <f t="shared" ca="1" si="40"/>
        <v>2295</v>
      </c>
      <c r="BZ19" s="84">
        <f t="shared" ca="1" si="41"/>
        <v>4097</v>
      </c>
      <c r="CA19" s="84">
        <f t="shared" ca="1" si="42"/>
        <v>12628</v>
      </c>
      <c r="CB19" s="84">
        <f t="shared" ca="1" si="43"/>
        <v>23456</v>
      </c>
      <c r="CC19" s="84">
        <f t="shared" ca="1" si="44"/>
        <v>6842</v>
      </c>
      <c r="CD19" s="84">
        <f t="shared" ca="1" si="45"/>
        <v>2247</v>
      </c>
      <c r="CE19" s="84">
        <f t="shared" ca="1" si="46"/>
        <v>1948</v>
      </c>
      <c r="CF19" s="84">
        <f t="shared" ca="1" si="47"/>
        <v>117412</v>
      </c>
      <c r="CG19" s="84">
        <f t="shared" ca="1" si="48"/>
        <v>193574</v>
      </c>
      <c r="CH19" s="21">
        <f t="shared" ca="1" si="49"/>
        <v>5.4410763406596452E-2</v>
      </c>
    </row>
    <row r="20" spans="1:100" x14ac:dyDescent="0.25">
      <c r="B20">
        <f t="shared" si="29"/>
        <v>16</v>
      </c>
      <c r="X20" s="85">
        <f t="shared" si="12"/>
        <v>2025</v>
      </c>
      <c r="Y20" s="84">
        <f t="shared" ca="1" si="13"/>
        <v>6983</v>
      </c>
      <c r="Z20" s="84">
        <f t="shared" ca="1" si="14"/>
        <v>1017</v>
      </c>
      <c r="AA20" s="84">
        <f t="shared" ca="1" si="15"/>
        <v>545</v>
      </c>
      <c r="AB20" s="84">
        <f t="shared" ca="1" si="16"/>
        <v>2308</v>
      </c>
      <c r="AC20" s="84">
        <f t="shared" ca="1" si="17"/>
        <v>1157</v>
      </c>
      <c r="AD20" s="84">
        <f t="shared" ca="1" si="18"/>
        <v>484</v>
      </c>
      <c r="AE20" s="84">
        <f t="shared" ca="1" si="19"/>
        <v>4282</v>
      </c>
      <c r="AF20" s="84">
        <f t="shared" ca="1" si="20"/>
        <v>13284</v>
      </c>
      <c r="AG20" s="84">
        <f t="shared" ca="1" si="21"/>
        <v>22832</v>
      </c>
      <c r="AH20" s="84">
        <f t="shared" ca="1" si="22"/>
        <v>7314</v>
      </c>
      <c r="AI20" s="84">
        <f t="shared" ca="1" si="23"/>
        <v>2408</v>
      </c>
      <c r="AJ20" s="84">
        <f t="shared" ca="1" si="24"/>
        <v>2039</v>
      </c>
      <c r="AK20" s="84">
        <f t="shared" ca="1" si="25"/>
        <v>124393</v>
      </c>
      <c r="AL20" s="105">
        <f t="shared" ca="1" si="30"/>
        <v>189046</v>
      </c>
      <c r="AN20">
        <f t="shared" si="31"/>
        <v>2025</v>
      </c>
      <c r="AO20" s="21">
        <f t="shared" ca="1" si="50"/>
        <v>5.6269853274844905E-2</v>
      </c>
      <c r="AP20" s="21">
        <f t="shared" ca="1" si="51"/>
        <v>3.7755102040816224E-2</v>
      </c>
      <c r="AQ20" s="21">
        <f t="shared" ca="1" si="51"/>
        <v>5.415860735009681E-2</v>
      </c>
      <c r="AR20" s="21">
        <f t="shared" ca="1" si="51"/>
        <v>3.1277926720286064E-2</v>
      </c>
      <c r="AS20" s="21">
        <f t="shared" ca="1" si="51"/>
        <v>4.5167118337850143E-2</v>
      </c>
      <c r="AT20" s="21">
        <f t="shared" ca="1" si="51"/>
        <v>6.3736263736263732E-2</v>
      </c>
      <c r="AU20" s="21">
        <f t="shared" ca="1" si="51"/>
        <v>4.515499145716384E-2</v>
      </c>
      <c r="AV20" s="21">
        <f t="shared" ca="1" si="51"/>
        <v>5.1948051948051965E-2</v>
      </c>
      <c r="AW20" s="21">
        <f t="shared" ca="1" si="51"/>
        <v>6.2694903420991377E-2</v>
      </c>
      <c r="AX20" s="21">
        <f t="shared" ca="1" si="51"/>
        <v>6.8985676702718601E-2</v>
      </c>
      <c r="AY20" s="21">
        <f t="shared" ca="1" si="51"/>
        <v>7.1651090342679025E-2</v>
      </c>
      <c r="AZ20" s="21">
        <f t="shared" ca="1" si="51"/>
        <v>4.6714579055441519E-2</v>
      </c>
      <c r="BA20" s="21">
        <f t="shared" ca="1" si="51"/>
        <v>5.9457295676762278E-2</v>
      </c>
      <c r="BC20">
        <f t="shared" si="9"/>
        <v>2025</v>
      </c>
      <c r="BD20" s="84">
        <f t="shared" ca="1" si="33"/>
        <v>0</v>
      </c>
      <c r="BE20" s="84">
        <f t="shared" ca="1" si="26"/>
        <v>0</v>
      </c>
      <c r="BF20" s="84">
        <f t="shared" ca="1" si="26"/>
        <v>701</v>
      </c>
      <c r="BG20" s="84">
        <f t="shared" ca="1" si="26"/>
        <v>5318</v>
      </c>
      <c r="BH20" s="84">
        <f t="shared" ca="1" si="26"/>
        <v>5256</v>
      </c>
      <c r="BI20" s="84">
        <f t="shared" ca="1" si="26"/>
        <v>1840</v>
      </c>
      <c r="BJ20" s="84"/>
      <c r="BK20" s="84">
        <f t="shared" ca="1" si="26"/>
        <v>0</v>
      </c>
      <c r="BL20" s="84">
        <f t="shared" ca="1" si="26"/>
        <v>1971</v>
      </c>
      <c r="BM20" s="84">
        <f t="shared" ca="1" si="26"/>
        <v>0</v>
      </c>
      <c r="BN20" s="84">
        <f t="shared" ca="1" si="26"/>
        <v>0</v>
      </c>
      <c r="BO20" s="84">
        <f t="shared" ca="1" si="26"/>
        <v>0</v>
      </c>
      <c r="BP20" s="84">
        <f t="shared" ca="1" si="26"/>
        <v>0</v>
      </c>
      <c r="BQ20" s="84">
        <f t="shared" ca="1" si="34"/>
        <v>15086</v>
      </c>
      <c r="BS20">
        <f t="shared" si="27"/>
        <v>2025</v>
      </c>
      <c r="BT20" s="84">
        <f t="shared" ca="1" si="35"/>
        <v>6983</v>
      </c>
      <c r="BU20" s="84">
        <f t="shared" ca="1" si="36"/>
        <v>1017</v>
      </c>
      <c r="BV20" s="84">
        <f t="shared" ca="1" si="37"/>
        <v>1246</v>
      </c>
      <c r="BW20" s="84">
        <f t="shared" ca="1" si="38"/>
        <v>7626</v>
      </c>
      <c r="BX20" s="84">
        <f t="shared" ca="1" si="39"/>
        <v>6413</v>
      </c>
      <c r="BY20" s="84">
        <f t="shared" ca="1" si="40"/>
        <v>2324</v>
      </c>
      <c r="BZ20" s="84">
        <f t="shared" ca="1" si="41"/>
        <v>4282</v>
      </c>
      <c r="CA20" s="84">
        <f t="shared" ca="1" si="42"/>
        <v>13284</v>
      </c>
      <c r="CB20" s="84">
        <f t="shared" ca="1" si="43"/>
        <v>24803</v>
      </c>
      <c r="CC20" s="84">
        <f t="shared" ca="1" si="44"/>
        <v>7314</v>
      </c>
      <c r="CD20" s="84">
        <f t="shared" ca="1" si="45"/>
        <v>2408</v>
      </c>
      <c r="CE20" s="84">
        <f t="shared" ca="1" si="46"/>
        <v>2039</v>
      </c>
      <c r="CF20" s="84">
        <f t="shared" ca="1" si="47"/>
        <v>124393</v>
      </c>
      <c r="CG20" s="84">
        <f t="shared" ca="1" si="48"/>
        <v>204132</v>
      </c>
      <c r="CH20" s="21">
        <f t="shared" ca="1" si="49"/>
        <v>5.4542448882597849E-2</v>
      </c>
      <c r="CI20" s="94">
        <f ca="1">BT20/Y20-1</f>
        <v>0</v>
      </c>
      <c r="CJ20" s="94">
        <f t="shared" ref="CJ20:CV20" ca="1" si="52">BU20/Z20-1</f>
        <v>0</v>
      </c>
      <c r="CK20" s="94">
        <f t="shared" ca="1" si="52"/>
        <v>1.2862385321100915</v>
      </c>
      <c r="CL20" s="94">
        <f t="shared" ca="1" si="52"/>
        <v>2.3041594454072789</v>
      </c>
      <c r="CM20" s="94">
        <f t="shared" ca="1" si="52"/>
        <v>4.5427830596369922</v>
      </c>
      <c r="CN20" s="94">
        <f t="shared" ca="1" si="52"/>
        <v>3.8016528925619832</v>
      </c>
      <c r="CO20" s="94">
        <f t="shared" ca="1" si="52"/>
        <v>0</v>
      </c>
      <c r="CP20" s="94">
        <f t="shared" ca="1" si="52"/>
        <v>0</v>
      </c>
      <c r="CQ20" s="94">
        <f t="shared" ca="1" si="52"/>
        <v>8.6326208829712758E-2</v>
      </c>
      <c r="CR20" s="94">
        <f t="shared" ca="1" si="52"/>
        <v>0</v>
      </c>
      <c r="CS20" s="94">
        <f t="shared" ca="1" si="52"/>
        <v>0</v>
      </c>
      <c r="CT20" s="94">
        <f t="shared" ca="1" si="52"/>
        <v>0</v>
      </c>
      <c r="CU20" s="94">
        <f t="shared" ca="1" si="52"/>
        <v>0</v>
      </c>
      <c r="CV20" s="94">
        <f t="shared" ca="1" si="52"/>
        <v>7.9800683431545671E-2</v>
      </c>
    </row>
    <row r="21" spans="1:100" ht="45" x14ac:dyDescent="0.25">
      <c r="B21">
        <f t="shared" si="29"/>
        <v>17</v>
      </c>
      <c r="C21" s="75" t="s">
        <v>105</v>
      </c>
      <c r="D21" s="109" t="s">
        <v>493</v>
      </c>
      <c r="E21" s="109" t="s">
        <v>494</v>
      </c>
      <c r="F21" s="76" t="s">
        <v>152</v>
      </c>
      <c r="G21" s="71"/>
      <c r="H21" s="71"/>
      <c r="I21" s="75" t="s">
        <v>105</v>
      </c>
      <c r="J21" s="76" t="s">
        <v>150</v>
      </c>
      <c r="K21" s="76" t="s">
        <v>151</v>
      </c>
      <c r="L21" s="76" t="s">
        <v>152</v>
      </c>
      <c r="N21" s="71" t="s">
        <v>148</v>
      </c>
      <c r="O21" s="71" t="s">
        <v>149</v>
      </c>
      <c r="P21" s="71" t="s">
        <v>160</v>
      </c>
      <c r="Q21" s="71" t="s">
        <v>156</v>
      </c>
      <c r="R21" s="71" t="s">
        <v>159</v>
      </c>
      <c r="T21" s="78" t="s">
        <v>154</v>
      </c>
      <c r="U21" s="71"/>
      <c r="X21" s="85">
        <f>X20+1</f>
        <v>2026</v>
      </c>
      <c r="Y21" s="84">
        <f ca="1">Y20*(1+AO21)</f>
        <v>7363.9667765016848</v>
      </c>
      <c r="Z21" s="84">
        <f t="shared" ref="Z21:AK24" ca="1" si="53">Z20*(1+AP21)</f>
        <v>1054.7235967412528</v>
      </c>
      <c r="AA21" s="84">
        <f t="shared" ca="1" si="53"/>
        <v>574.1162442672296</v>
      </c>
      <c r="AB21" s="84">
        <f t="shared" ca="1" si="53"/>
        <v>2377.1656432299396</v>
      </c>
      <c r="AC21" s="84">
        <f t="shared" ca="1" si="53"/>
        <v>1206.3988800042082</v>
      </c>
      <c r="AD21" s="84">
        <f t="shared" ca="1" si="53"/>
        <v>514.43971723321704</v>
      </c>
      <c r="AE21" s="84">
        <f t="shared" ca="1" si="53"/>
        <v>4469.9883861688186</v>
      </c>
      <c r="AF21" s="84">
        <f t="shared" ca="1" si="53"/>
        <v>13962.58456487812</v>
      </c>
      <c r="AG21" s="84">
        <f t="shared" ca="1" si="53"/>
        <v>24266.320885897389</v>
      </c>
      <c r="AH21" s="84">
        <f t="shared" ca="1" si="53"/>
        <v>7808.5216446306986</v>
      </c>
      <c r="AI21" s="84">
        <f t="shared" ca="1" si="53"/>
        <v>2579.1599035457475</v>
      </c>
      <c r="AJ21" s="84">
        <f t="shared" ca="1" si="53"/>
        <v>2131.6307701019487</v>
      </c>
      <c r="AK21" s="84">
        <f t="shared" ca="1" si="53"/>
        <v>131033.01608560351</v>
      </c>
      <c r="AL21" s="105">
        <f t="shared" ca="1" si="30"/>
        <v>199342.03309880377</v>
      </c>
      <c r="AN21">
        <f t="shared" si="31"/>
        <v>2026</v>
      </c>
      <c r="AO21" s="21">
        <f ca="1">FORECAST($AN21,AO$16:AO$20,$AN$16:$AN$20)</f>
        <v>5.4556319132419429E-2</v>
      </c>
      <c r="AP21" s="21">
        <f t="shared" ref="AP21:BA21" ca="1" si="54">FORECAST($AN21,AP$16:AP$20,$AN$16:$AN$20)</f>
        <v>3.7093015478124491E-2</v>
      </c>
      <c r="AQ21" s="21">
        <f ca="1">FORECAST($AN21,AQ$17:AQ$20,$AN$17:$AN$20)</f>
        <v>5.3424301407760666E-2</v>
      </c>
      <c r="AR21" s="21">
        <f ca="1">FORECAST($AN21,AR$17:AR$20,$AN$17:$AN$20)</f>
        <v>2.9967783028570061E-2</v>
      </c>
      <c r="AS21" s="21">
        <f ca="1">FORECAST($AN21,AS$17:AS$20,$AN$17:$AN$20)</f>
        <v>4.2695661196376911E-2</v>
      </c>
      <c r="AT21" s="21">
        <f ca="1">FORECAST($AN21,AT$18:AT$20,$AN$18:$AN$20)</f>
        <v>6.2891977754580664E-2</v>
      </c>
      <c r="AU21" s="21">
        <f t="shared" ca="1" si="54"/>
        <v>4.3902005177211212E-2</v>
      </c>
      <c r="AV21" s="21">
        <f t="shared" ca="1" si="54"/>
        <v>5.1082848906814249E-2</v>
      </c>
      <c r="AW21" s="21">
        <f t="shared" ca="1" si="54"/>
        <v>6.2820641463620874E-2</v>
      </c>
      <c r="AX21" s="21">
        <f t="shared" ca="1" si="54"/>
        <v>6.7613022235534448E-2</v>
      </c>
      <c r="AY21" s="21">
        <f t="shared" ca="1" si="54"/>
        <v>7.1079694163516338E-2</v>
      </c>
      <c r="AZ21" s="21">
        <f t="shared" ca="1" si="54"/>
        <v>4.5429509613510888E-2</v>
      </c>
      <c r="BA21" s="21">
        <f t="shared" ca="1" si="54"/>
        <v>5.3379338753816619E-2</v>
      </c>
      <c r="BC21">
        <f t="shared" si="9"/>
        <v>2026</v>
      </c>
      <c r="BD21" s="84">
        <f ca="1">FORECAST($BC21,BD15:BD20,$BC15:$BC20)</f>
        <v>0</v>
      </c>
      <c r="BE21" s="84">
        <f t="shared" ref="BE21:BP21" ca="1" si="55">FORECAST($BC21,BE15:BE20,$BC15:$BC20)</f>
        <v>0</v>
      </c>
      <c r="BF21" s="84">
        <f t="shared" ca="1" si="55"/>
        <v>701</v>
      </c>
      <c r="BG21" s="84">
        <f t="shared" ca="1" si="55"/>
        <v>5392.333333333343</v>
      </c>
      <c r="BH21" s="84">
        <f t="shared" ca="1" si="55"/>
        <v>5256</v>
      </c>
      <c r="BI21" s="84">
        <f t="shared" ca="1" si="55"/>
        <v>1840</v>
      </c>
      <c r="BJ21" s="84">
        <f t="shared" ca="1" si="55"/>
        <v>0</v>
      </c>
      <c r="BK21" s="84">
        <f t="shared" ca="1" si="55"/>
        <v>0</v>
      </c>
      <c r="BL21" s="84">
        <f t="shared" ca="1" si="55"/>
        <v>1971</v>
      </c>
      <c r="BM21" s="84">
        <f t="shared" ca="1" si="55"/>
        <v>0</v>
      </c>
      <c r="BN21" s="84">
        <f t="shared" ca="1" si="55"/>
        <v>0</v>
      </c>
      <c r="BO21" s="84">
        <f t="shared" ca="1" si="55"/>
        <v>0</v>
      </c>
      <c r="BP21" s="84">
        <f t="shared" ca="1" si="55"/>
        <v>0</v>
      </c>
      <c r="BQ21" s="84">
        <f t="shared" ca="1" si="34"/>
        <v>15160.333333333343</v>
      </c>
      <c r="BS21">
        <f t="shared" si="27"/>
        <v>2026</v>
      </c>
      <c r="BT21" s="84">
        <f t="shared" ref="BT21:BT24" ca="1" si="56">BD21+Y21</f>
        <v>7363.9667765016848</v>
      </c>
      <c r="BU21" s="84">
        <f t="shared" ref="BU21:BU24" ca="1" si="57">BE21+Z21</f>
        <v>1054.7235967412528</v>
      </c>
      <c r="BV21" s="84">
        <f t="shared" ref="BV21:BV24" ca="1" si="58">BF21+AA21</f>
        <v>1275.1162442672296</v>
      </c>
      <c r="BW21" s="84">
        <f t="shared" ref="BW21:BW24" ca="1" si="59">BG21+AB21</f>
        <v>7769.4989765632827</v>
      </c>
      <c r="BX21" s="84">
        <f t="shared" ref="BX21:BX24" ca="1" si="60">BH21+AC21</f>
        <v>6462.398880004208</v>
      </c>
      <c r="BY21" s="84">
        <f t="shared" ref="BY21:BY24" ca="1" si="61">BI21+AD21</f>
        <v>2354.4397172332169</v>
      </c>
      <c r="BZ21" s="84">
        <f t="shared" ref="BZ21:BZ24" ca="1" si="62">BJ21+AE21</f>
        <v>4469.9883861688186</v>
      </c>
      <c r="CA21" s="84">
        <f t="shared" ref="CA21:CA24" ca="1" si="63">BK21+AF21</f>
        <v>13962.58456487812</v>
      </c>
      <c r="CB21" s="84">
        <f t="shared" ref="CB21:CB24" ca="1" si="64">BL21+AG21</f>
        <v>26237.320885897389</v>
      </c>
      <c r="CC21" s="84">
        <f t="shared" ref="CC21:CC24" ca="1" si="65">BM21+AH21</f>
        <v>7808.5216446306986</v>
      </c>
      <c r="CD21" s="84">
        <f t="shared" ref="CD21:CD24" ca="1" si="66">BN21+AI21</f>
        <v>2579.1599035457475</v>
      </c>
      <c r="CE21" s="84">
        <f t="shared" ref="CE21:CE24" ca="1" si="67">BO21+AJ21</f>
        <v>2131.6307701019487</v>
      </c>
      <c r="CF21" s="84">
        <f t="shared" ref="CF21:CF24" ca="1" si="68">BP21+AK21</f>
        <v>131033.01608560351</v>
      </c>
      <c r="CG21" s="84">
        <f t="shared" ref="CG21:CG24" ca="1" si="69">SUM(BT21:CF21)</f>
        <v>214502.36643213712</v>
      </c>
      <c r="CH21" s="21">
        <f t="shared" ca="1" si="49"/>
        <v>5.0802257520315974E-2</v>
      </c>
    </row>
    <row r="22" spans="1:100" x14ac:dyDescent="0.25">
      <c r="A22" s="108" t="s">
        <v>68</v>
      </c>
      <c r="B22">
        <f t="shared" si="29"/>
        <v>18</v>
      </c>
      <c r="C22" s="68" t="s">
        <v>105</v>
      </c>
      <c r="D22" s="69" t="s">
        <v>109</v>
      </c>
      <c r="E22" s="69" t="s">
        <v>109</v>
      </c>
      <c r="F22" s="69" t="s">
        <v>109</v>
      </c>
      <c r="I22" s="68" t="s">
        <v>105</v>
      </c>
      <c r="J22" s="69" t="s">
        <v>125</v>
      </c>
      <c r="K22" s="69" t="s">
        <v>125</v>
      </c>
      <c r="L22" s="69" t="s">
        <v>125</v>
      </c>
      <c r="N22" s="69" t="s">
        <v>109</v>
      </c>
      <c r="O22" s="69" t="s">
        <v>125</v>
      </c>
      <c r="P22" s="69" t="s">
        <v>11</v>
      </c>
      <c r="Q22" s="69" t="s">
        <v>157</v>
      </c>
      <c r="R22" s="69" t="s">
        <v>157</v>
      </c>
      <c r="T22" s="69"/>
      <c r="U22" s="69" t="s">
        <v>157</v>
      </c>
      <c r="X22" s="85">
        <f t="shared" ref="X22:X26" si="70">X21+1</f>
        <v>2027</v>
      </c>
      <c r="Y22" s="84">
        <f t="shared" ref="Y22:Y26" ca="1" si="71">Y21*(1+AO22)</f>
        <v>7761.0297335743562</v>
      </c>
      <c r="Z22" s="84">
        <f t="shared" ca="1" si="53"/>
        <v>1093.7878092003671</v>
      </c>
      <c r="AA22" s="84">
        <f t="shared" ca="1" si="53"/>
        <v>604.57269239919526</v>
      </c>
      <c r="AB22" s="84">
        <f t="shared" ca="1" si="53"/>
        <v>2446.1358793129516</v>
      </c>
      <c r="AC22" s="84">
        <f t="shared" ca="1" si="53"/>
        <v>1255.061320664586</v>
      </c>
      <c r="AD22" s="84">
        <f t="shared" ca="1" si="53"/>
        <v>546.55197097372832</v>
      </c>
      <c r="AE22" s="84">
        <f t="shared" ca="1" si="53"/>
        <v>4661.116261861167</v>
      </c>
      <c r="AF22" s="84">
        <f t="shared" ca="1" si="53"/>
        <v>14665.288347550248</v>
      </c>
      <c r="AG22" s="84">
        <f t="shared" ca="1" si="53"/>
        <v>25792.869366979143</v>
      </c>
      <c r="AH22" s="84">
        <f t="shared" ca="1" si="53"/>
        <v>8327.0709725466331</v>
      </c>
      <c r="AI22" s="84">
        <f t="shared" ca="1" si="53"/>
        <v>2760.9431087706603</v>
      </c>
      <c r="AJ22" s="84">
        <f t="shared" ca="1" si="53"/>
        <v>2226.2807264355451</v>
      </c>
      <c r="AK22" s="84">
        <f t="shared" ca="1" si="53"/>
        <v>137629.13057541734</v>
      </c>
      <c r="AL22" s="105">
        <f t="shared" ca="1" si="30"/>
        <v>209769.83876568591</v>
      </c>
      <c r="AN22">
        <f t="shared" si="31"/>
        <v>2027</v>
      </c>
      <c r="AO22" s="21">
        <f t="shared" ref="AO22:BA24" ca="1" si="72">FORECAST($AN22,AO$16:AO$20,$AN$16:$AN$20)</f>
        <v>5.3919710547811528E-2</v>
      </c>
      <c r="AP22" s="21">
        <f t="shared" ca="1" si="72"/>
        <v>3.7037393095034329E-2</v>
      </c>
      <c r="AQ22" s="21">
        <f t="shared" ref="AQ22:AS28" ca="1" si="73">FORECAST($AN22,AQ$17:AQ$20,$AN$17:$AN$20)</f>
        <v>5.3049270833363416E-2</v>
      </c>
      <c r="AR22" s="21">
        <f t="shared" ca="1" si="73"/>
        <v>2.9013643319066196E-2</v>
      </c>
      <c r="AS22" s="21">
        <f t="shared" ca="1" si="73"/>
        <v>4.0336941178367169E-2</v>
      </c>
      <c r="AT22" s="21">
        <f t="shared" ref="AT22:AT25" ca="1" si="74">FORECAST($AN22,AT$18:AT$20,$AN$18:$AN$20)</f>
        <v>6.2421801165001067E-2</v>
      </c>
      <c r="AU22" s="21">
        <f t="shared" ca="1" si="72"/>
        <v>4.2758025117859866E-2</v>
      </c>
      <c r="AV22" s="21">
        <f t="shared" ca="1" si="72"/>
        <v>5.032762948771885E-2</v>
      </c>
      <c r="AW22" s="21">
        <f t="shared" ca="1" si="72"/>
        <v>6.2908114017766942E-2</v>
      </c>
      <c r="AX22" s="21">
        <f t="shared" ca="1" si="72"/>
        <v>6.6408130951714828E-2</v>
      </c>
      <c r="AY22" s="21">
        <f t="shared" ca="1" si="72"/>
        <v>7.0481556794909528E-2</v>
      </c>
      <c r="AZ22" s="21">
        <f t="shared" ca="1" si="72"/>
        <v>4.4402603706583665E-2</v>
      </c>
      <c r="BA22" s="21">
        <f t="shared" ca="1" si="72"/>
        <v>5.0339331924593722E-2</v>
      </c>
      <c r="BC22">
        <f t="shared" si="9"/>
        <v>2027</v>
      </c>
      <c r="BD22" s="84">
        <f t="shared" ref="BD22:BD24" ca="1" si="75">FORECAST($BC22,BD16:BD21,$BC16:$BC21)</f>
        <v>0</v>
      </c>
      <c r="BE22" s="84">
        <f t="shared" ref="BE22:BE24" ca="1" si="76">FORECAST($BC22,BE16:BE21,$BC16:$BC21)</f>
        <v>0</v>
      </c>
      <c r="BF22" s="84">
        <f t="shared" ref="BF22:BF24" ca="1" si="77">FORECAST($BC22,BF16:BF21,$BC16:$BC21)</f>
        <v>701</v>
      </c>
      <c r="BG22" s="84">
        <f t="shared" ref="BG22:BG24" ca="1" si="78">FORECAST($BC22,BG16:BG21,$BC16:$BC21)</f>
        <v>5469.3555555555504</v>
      </c>
      <c r="BH22" s="84">
        <f t="shared" ref="BH22:BH24" ca="1" si="79">FORECAST($BC22,BH16:BH21,$BC16:$BC21)</f>
        <v>5256</v>
      </c>
      <c r="BI22" s="84">
        <f t="shared" ref="BI22:BI24" ca="1" si="80">FORECAST($BC22,BI16:BI21,$BC16:$BC21)</f>
        <v>1840</v>
      </c>
      <c r="BJ22" s="84">
        <f t="shared" ref="BJ22:BJ24" ca="1" si="81">FORECAST($BC22,BJ16:BJ21,$BC16:$BC21)</f>
        <v>0</v>
      </c>
      <c r="BK22" s="84">
        <f t="shared" ref="BK22:BK24" ca="1" si="82">FORECAST($BC22,BK16:BK21,$BC16:$BC21)</f>
        <v>0</v>
      </c>
      <c r="BL22" s="84">
        <f t="shared" ref="BL22:BL24" ca="1" si="83">FORECAST($BC22,BL16:BL21,$BC16:$BC21)</f>
        <v>1971</v>
      </c>
      <c r="BM22" s="84">
        <f t="shared" ref="BM22:BM24" ca="1" si="84">FORECAST($BC22,BM16:BM21,$BC16:$BC21)</f>
        <v>0</v>
      </c>
      <c r="BN22" s="84">
        <f t="shared" ref="BN22:BN25" ca="1" si="85">FORECAST($BC22,BN16:BN21,$BC16:$BC21)</f>
        <v>0</v>
      </c>
      <c r="BO22" s="84">
        <f t="shared" ref="BO22:BO24" ca="1" si="86">FORECAST($BC22,BO16:BO21,$BC16:$BC21)</f>
        <v>0</v>
      </c>
      <c r="BP22" s="84">
        <f t="shared" ref="BP22:BP24" ca="1" si="87">FORECAST($BC22,BP16:BP21,$BC16:$BC21)</f>
        <v>0</v>
      </c>
      <c r="BQ22" s="84">
        <f t="shared" ca="1" si="34"/>
        <v>15237.35555555555</v>
      </c>
      <c r="BS22">
        <f t="shared" si="27"/>
        <v>2027</v>
      </c>
      <c r="BT22" s="84">
        <f t="shared" ca="1" si="56"/>
        <v>7761.0297335743562</v>
      </c>
      <c r="BU22" s="84">
        <f t="shared" ca="1" si="57"/>
        <v>1093.7878092003671</v>
      </c>
      <c r="BV22" s="84">
        <f t="shared" ca="1" si="58"/>
        <v>1305.5726923991951</v>
      </c>
      <c r="BW22" s="84">
        <f t="shared" ca="1" si="59"/>
        <v>7915.4914348685015</v>
      </c>
      <c r="BX22" s="84">
        <f t="shared" ca="1" si="60"/>
        <v>6511.0613206645858</v>
      </c>
      <c r="BY22" s="84">
        <f t="shared" ca="1" si="61"/>
        <v>2386.5519709737282</v>
      </c>
      <c r="BZ22" s="84">
        <f t="shared" ca="1" si="62"/>
        <v>4661.116261861167</v>
      </c>
      <c r="CA22" s="84">
        <f t="shared" ca="1" si="63"/>
        <v>14665.288347550248</v>
      </c>
      <c r="CB22" s="84">
        <f t="shared" ca="1" si="64"/>
        <v>27763.869366979143</v>
      </c>
      <c r="CC22" s="84">
        <f t="shared" ca="1" si="65"/>
        <v>8327.0709725466331</v>
      </c>
      <c r="CD22" s="84">
        <f t="shared" ca="1" si="66"/>
        <v>2760.9431087706603</v>
      </c>
      <c r="CE22" s="84">
        <f t="shared" ca="1" si="67"/>
        <v>2226.2807264355451</v>
      </c>
      <c r="CF22" s="84">
        <f t="shared" ca="1" si="68"/>
        <v>137629.13057541734</v>
      </c>
      <c r="CG22" s="84">
        <f t="shared" ca="1" si="69"/>
        <v>225007.19432124146</v>
      </c>
      <c r="CH22" s="21">
        <f t="shared" ca="1" si="49"/>
        <v>4.8973016306688599E-2</v>
      </c>
    </row>
    <row r="23" spans="1:100" x14ac:dyDescent="0.25">
      <c r="A23" t="str">
        <f>VLOOKUP(A22,General!$A$9:$B$23,2,FALSE)</f>
        <v>GAM</v>
      </c>
      <c r="B23">
        <f t="shared" si="29"/>
        <v>19</v>
      </c>
      <c r="C23" s="89">
        <v>2011</v>
      </c>
      <c r="D23" s="69">
        <v>239</v>
      </c>
      <c r="E23" s="69">
        <v>219</v>
      </c>
      <c r="F23" s="69">
        <v>288</v>
      </c>
      <c r="I23" s="89">
        <v>2011</v>
      </c>
      <c r="J23" s="69">
        <v>50</v>
      </c>
      <c r="K23" s="69">
        <v>46</v>
      </c>
      <c r="L23" s="69">
        <v>60</v>
      </c>
      <c r="M23" s="97">
        <f>N23/(O23*8.76)</f>
        <v>0.5</v>
      </c>
      <c r="N23" s="70">
        <f>E23</f>
        <v>219</v>
      </c>
      <c r="O23" s="70">
        <v>50</v>
      </c>
      <c r="P23" s="91">
        <v>0.34</v>
      </c>
      <c r="Q23" s="70"/>
      <c r="R23" s="70"/>
      <c r="T23" s="69" t="s">
        <v>110</v>
      </c>
      <c r="U23">
        <v>0</v>
      </c>
      <c r="X23" s="85">
        <f t="shared" si="70"/>
        <v>2028</v>
      </c>
      <c r="Y23" s="84">
        <f t="shared" ca="1" si="71"/>
        <v>8174.5614722078517</v>
      </c>
      <c r="Z23" s="84">
        <f t="shared" ca="1" si="53"/>
        <v>1134.2380191677348</v>
      </c>
      <c r="AA23" s="84">
        <f t="shared" ca="1" si="53"/>
        <v>636.41809965264054</v>
      </c>
      <c r="AB23" s="84">
        <f t="shared" ca="1" si="53"/>
        <v>2514.7732378480132</v>
      </c>
      <c r="AC23" s="84">
        <f t="shared" ca="1" si="53"/>
        <v>1302.7263170705971</v>
      </c>
      <c r="AD23" s="84">
        <f t="shared" ca="1" si="53"/>
        <v>580.41175349044943</v>
      </c>
      <c r="AE23" s="84">
        <f t="shared" ca="1" si="53"/>
        <v>4855.0841640052022</v>
      </c>
      <c r="AF23" s="84">
        <f t="shared" ca="1" si="53"/>
        <v>15392.282035289614</v>
      </c>
      <c r="AG23" s="84">
        <f t="shared" ca="1" si="53"/>
        <v>27417.70630212472</v>
      </c>
      <c r="AH23" s="84">
        <f t="shared" ca="1" si="53"/>
        <v>8870.0229769011639</v>
      </c>
      <c r="AI23" s="84">
        <f t="shared" ca="1" si="53"/>
        <v>2953.8872540530406</v>
      </c>
      <c r="AJ23" s="84">
        <f t="shared" ca="1" si="53"/>
        <v>2322.8472064426128</v>
      </c>
      <c r="AK23" s="84">
        <f t="shared" ca="1" si="53"/>
        <v>144138.89556509725</v>
      </c>
      <c r="AL23" s="105">
        <f t="shared" ca="1" si="30"/>
        <v>220293.85440335091</v>
      </c>
      <c r="AN23">
        <f t="shared" si="31"/>
        <v>2028</v>
      </c>
      <c r="AO23" s="21">
        <f t="shared" ca="1" si="72"/>
        <v>5.3283101963203405E-2</v>
      </c>
      <c r="AP23" s="21">
        <f t="shared" ca="1" si="72"/>
        <v>3.6981770711944167E-2</v>
      </c>
      <c r="AQ23" s="21">
        <f t="shared" ca="1" si="73"/>
        <v>5.2674240258966276E-2</v>
      </c>
      <c r="AR23" s="21">
        <f t="shared" ca="1" si="73"/>
        <v>2.8059503609562331E-2</v>
      </c>
      <c r="AS23" s="21">
        <f t="shared" ca="1" si="73"/>
        <v>3.7978221160358316E-2</v>
      </c>
      <c r="AT23" s="21">
        <f t="shared" ca="1" si="74"/>
        <v>6.1951624575421471E-2</v>
      </c>
      <c r="AU23" s="21">
        <f t="shared" ca="1" si="72"/>
        <v>4.1614045058508076E-2</v>
      </c>
      <c r="AV23" s="21">
        <f t="shared" ca="1" si="72"/>
        <v>4.9572410068623451E-2</v>
      </c>
      <c r="AW23" s="21">
        <f t="shared" ca="1" si="72"/>
        <v>6.2995586571912981E-2</v>
      </c>
      <c r="AX23" s="21">
        <f t="shared" ca="1" si="72"/>
        <v>6.5203239667895208E-2</v>
      </c>
      <c r="AY23" s="21">
        <f t="shared" ca="1" si="72"/>
        <v>6.9883419426302718E-2</v>
      </c>
      <c r="AZ23" s="21">
        <f t="shared" ca="1" si="72"/>
        <v>4.3375697799656443E-2</v>
      </c>
      <c r="BA23" s="21">
        <f t="shared" ca="1" si="72"/>
        <v>4.7299325095370826E-2</v>
      </c>
      <c r="BC23">
        <f t="shared" si="9"/>
        <v>2028</v>
      </c>
      <c r="BD23" s="84">
        <f t="shared" ca="1" si="75"/>
        <v>0</v>
      </c>
      <c r="BE23" s="84">
        <f t="shared" ca="1" si="76"/>
        <v>0</v>
      </c>
      <c r="BF23" s="84">
        <f t="shared" ca="1" si="77"/>
        <v>701</v>
      </c>
      <c r="BG23" s="84">
        <f t="shared" ca="1" si="78"/>
        <v>5546.4592592592526</v>
      </c>
      <c r="BH23" s="84">
        <f t="shared" ca="1" si="79"/>
        <v>5256</v>
      </c>
      <c r="BI23" s="84">
        <f t="shared" ca="1" si="80"/>
        <v>1840</v>
      </c>
      <c r="BJ23" s="84">
        <f t="shared" ca="1" si="81"/>
        <v>0</v>
      </c>
      <c r="BK23" s="84">
        <f t="shared" ca="1" si="82"/>
        <v>0</v>
      </c>
      <c r="BL23" s="84">
        <f t="shared" ca="1" si="83"/>
        <v>1971</v>
      </c>
      <c r="BM23" s="84">
        <f t="shared" ca="1" si="84"/>
        <v>0</v>
      </c>
      <c r="BN23" s="84">
        <f t="shared" ca="1" si="85"/>
        <v>0</v>
      </c>
      <c r="BO23" s="84">
        <f t="shared" ca="1" si="86"/>
        <v>0</v>
      </c>
      <c r="BP23" s="84">
        <f t="shared" ca="1" si="87"/>
        <v>0</v>
      </c>
      <c r="BQ23" s="84">
        <f t="shared" ca="1" si="34"/>
        <v>15314.459259259253</v>
      </c>
      <c r="BS23">
        <f t="shared" si="27"/>
        <v>2028</v>
      </c>
      <c r="BT23" s="84">
        <f t="shared" ca="1" si="56"/>
        <v>8174.5614722078517</v>
      </c>
      <c r="BU23" s="84">
        <f t="shared" ca="1" si="57"/>
        <v>1134.2380191677348</v>
      </c>
      <c r="BV23" s="84">
        <f t="shared" ca="1" si="58"/>
        <v>1337.4180996526406</v>
      </c>
      <c r="BW23" s="84">
        <f t="shared" ca="1" si="59"/>
        <v>8061.2324971072658</v>
      </c>
      <c r="BX23" s="84">
        <f t="shared" ca="1" si="60"/>
        <v>6558.7263170705974</v>
      </c>
      <c r="BY23" s="84">
        <f t="shared" ca="1" si="61"/>
        <v>2420.4117534904494</v>
      </c>
      <c r="BZ23" s="84">
        <f t="shared" ca="1" si="62"/>
        <v>4855.0841640052022</v>
      </c>
      <c r="CA23" s="84">
        <f t="shared" ca="1" si="63"/>
        <v>15392.282035289614</v>
      </c>
      <c r="CB23" s="84">
        <f t="shared" ca="1" si="64"/>
        <v>29388.70630212472</v>
      </c>
      <c r="CC23" s="84">
        <f t="shared" ca="1" si="65"/>
        <v>8870.0229769011639</v>
      </c>
      <c r="CD23" s="84">
        <f t="shared" ca="1" si="66"/>
        <v>2953.8872540530406</v>
      </c>
      <c r="CE23" s="84">
        <f t="shared" ca="1" si="67"/>
        <v>2322.8472064426128</v>
      </c>
      <c r="CF23" s="84">
        <f t="shared" ca="1" si="68"/>
        <v>144138.89556509725</v>
      </c>
      <c r="CG23" s="84">
        <f t="shared" ca="1" si="69"/>
        <v>235608.31366261013</v>
      </c>
      <c r="CH23" s="21">
        <f t="shared" ca="1" si="49"/>
        <v>4.711457948421649E-2</v>
      </c>
    </row>
    <row r="24" spans="1:100" x14ac:dyDescent="0.25">
      <c r="B24">
        <f t="shared" si="29"/>
        <v>20</v>
      </c>
      <c r="C24" s="89">
        <v>2012</v>
      </c>
      <c r="D24" s="69">
        <v>337</v>
      </c>
      <c r="E24" s="69">
        <v>268</v>
      </c>
      <c r="F24" s="69">
        <v>414</v>
      </c>
      <c r="I24" s="89">
        <v>2012</v>
      </c>
      <c r="J24" s="69">
        <v>61</v>
      </c>
      <c r="K24" s="69">
        <v>49</v>
      </c>
      <c r="L24" s="69">
        <v>75</v>
      </c>
      <c r="P24" t="s">
        <v>488</v>
      </c>
      <c r="T24" s="69" t="s">
        <v>111</v>
      </c>
      <c r="U24">
        <v>0</v>
      </c>
      <c r="X24" s="85">
        <f t="shared" si="70"/>
        <v>2029</v>
      </c>
      <c r="Y24" s="84">
        <f t="shared" ca="1" si="71"/>
        <v>8604.923468627363</v>
      </c>
      <c r="Z24" s="84">
        <f t="shared" ca="1" si="53"/>
        <v>1176.1210605037484</v>
      </c>
      <c r="AA24" s="84">
        <f t="shared" ca="1" si="53"/>
        <v>669.70226329342904</v>
      </c>
      <c r="AB24" s="84">
        <f t="shared" ca="1" si="53"/>
        <v>2582.937081586012</v>
      </c>
      <c r="AC24" s="84">
        <f t="shared" ca="1" si="53"/>
        <v>1349.1287786096609</v>
      </c>
      <c r="AD24" s="84">
        <f t="shared" ca="1" si="53"/>
        <v>616.09630852304372</v>
      </c>
      <c r="AE24" s="84">
        <f t="shared" ca="1" si="53"/>
        <v>5051.5697356988667</v>
      </c>
      <c r="AF24" s="84">
        <f t="shared" ca="1" si="53"/>
        <v>16143.690001937654</v>
      </c>
      <c r="AG24" s="84">
        <f t="shared" ca="1" si="53"/>
        <v>29147.299089882574</v>
      </c>
      <c r="AH24" s="84">
        <f t="shared" ca="1" si="53"/>
        <v>9437.6897975516404</v>
      </c>
      <c r="AI24" s="84">
        <f t="shared" ca="1" si="53"/>
        <v>3158.5481656167385</v>
      </c>
      <c r="AJ24" s="84">
        <f t="shared" ca="1" si="53"/>
        <v>2421.2169793868584</v>
      </c>
      <c r="AK24" s="84">
        <f t="shared" ca="1" si="53"/>
        <v>150518.38481844394</v>
      </c>
      <c r="AL24" s="105">
        <f t="shared" ca="1" si="30"/>
        <v>230877.30754966152</v>
      </c>
      <c r="AN24">
        <f t="shared" si="31"/>
        <v>2029</v>
      </c>
      <c r="AO24" s="21">
        <f t="shared" ca="1" si="72"/>
        <v>5.2646493378595283E-2</v>
      </c>
      <c r="AP24" s="21">
        <f t="shared" ca="1" si="72"/>
        <v>3.6926148328854005E-2</v>
      </c>
      <c r="AQ24" s="21">
        <f t="shared" ca="1" si="73"/>
        <v>5.2299209684569137E-2</v>
      </c>
      <c r="AR24" s="21">
        <f t="shared" ca="1" si="73"/>
        <v>2.7105363900058466E-2</v>
      </c>
      <c r="AS24" s="21">
        <f t="shared" ca="1" si="73"/>
        <v>3.5619501142348575E-2</v>
      </c>
      <c r="AT24" s="21">
        <f t="shared" ca="1" si="74"/>
        <v>6.1481447985841875E-2</v>
      </c>
      <c r="AU24" s="21">
        <f t="shared" ca="1" si="72"/>
        <v>4.0470064999156286E-2</v>
      </c>
      <c r="AV24" s="21">
        <f t="shared" ca="1" si="72"/>
        <v>4.8817190649528053E-2</v>
      </c>
      <c r="AW24" s="21">
        <f t="shared" ca="1" si="72"/>
        <v>6.3083059126059021E-2</v>
      </c>
      <c r="AX24" s="21">
        <f t="shared" ca="1" si="72"/>
        <v>6.3998348384075587E-2</v>
      </c>
      <c r="AY24" s="21">
        <f t="shared" ca="1" si="72"/>
        <v>6.9285282057695907E-2</v>
      </c>
      <c r="AZ24" s="21">
        <f t="shared" ca="1" si="72"/>
        <v>4.2348791892729221E-2</v>
      </c>
      <c r="BA24" s="21">
        <f t="shared" ca="1" si="72"/>
        <v>4.4259318266147929E-2</v>
      </c>
      <c r="BC24">
        <f t="shared" si="9"/>
        <v>2029</v>
      </c>
      <c r="BD24" s="84">
        <f t="shared" ca="1" si="75"/>
        <v>0</v>
      </c>
      <c r="BE24" s="84">
        <f t="shared" ca="1" si="76"/>
        <v>0</v>
      </c>
      <c r="BF24" s="84">
        <f t="shared" ca="1" si="77"/>
        <v>701</v>
      </c>
      <c r="BG24" s="84">
        <f t="shared" ca="1" si="78"/>
        <v>5623.2943209876539</v>
      </c>
      <c r="BH24" s="84">
        <f t="shared" ca="1" si="79"/>
        <v>5256</v>
      </c>
      <c r="BI24" s="84">
        <f t="shared" ca="1" si="80"/>
        <v>1840</v>
      </c>
      <c r="BJ24" s="84">
        <f t="shared" ca="1" si="81"/>
        <v>0</v>
      </c>
      <c r="BK24" s="84">
        <f t="shared" ca="1" si="82"/>
        <v>0</v>
      </c>
      <c r="BL24" s="84">
        <f t="shared" ca="1" si="83"/>
        <v>1971</v>
      </c>
      <c r="BM24" s="84">
        <f t="shared" ca="1" si="84"/>
        <v>0</v>
      </c>
      <c r="BN24" s="84">
        <f t="shared" ca="1" si="85"/>
        <v>0</v>
      </c>
      <c r="BO24" s="84">
        <f t="shared" ca="1" si="86"/>
        <v>0</v>
      </c>
      <c r="BP24" s="84">
        <f t="shared" ca="1" si="87"/>
        <v>0</v>
      </c>
      <c r="BQ24" s="84">
        <f t="shared" ca="1" si="34"/>
        <v>15391.294320987654</v>
      </c>
      <c r="BS24">
        <f t="shared" si="27"/>
        <v>2029</v>
      </c>
      <c r="BT24" s="84">
        <f t="shared" ca="1" si="56"/>
        <v>8604.923468627363</v>
      </c>
      <c r="BU24" s="84">
        <f t="shared" ca="1" si="57"/>
        <v>1176.1210605037484</v>
      </c>
      <c r="BV24" s="84">
        <f t="shared" ca="1" si="58"/>
        <v>1370.702263293429</v>
      </c>
      <c r="BW24" s="84">
        <f t="shared" ca="1" si="59"/>
        <v>8206.2314025736669</v>
      </c>
      <c r="BX24" s="84">
        <f t="shared" ca="1" si="60"/>
        <v>6605.1287786096609</v>
      </c>
      <c r="BY24" s="84">
        <f t="shared" ca="1" si="61"/>
        <v>2456.0963085230437</v>
      </c>
      <c r="BZ24" s="84">
        <f t="shared" ca="1" si="62"/>
        <v>5051.5697356988667</v>
      </c>
      <c r="CA24" s="84">
        <f t="shared" ca="1" si="63"/>
        <v>16143.690001937654</v>
      </c>
      <c r="CB24" s="84">
        <f t="shared" ca="1" si="64"/>
        <v>31118.299089882574</v>
      </c>
      <c r="CC24" s="84">
        <f t="shared" ca="1" si="65"/>
        <v>9437.6897975516404</v>
      </c>
      <c r="CD24" s="84">
        <f t="shared" ca="1" si="66"/>
        <v>3158.5481656167385</v>
      </c>
      <c r="CE24" s="84">
        <f t="shared" ca="1" si="67"/>
        <v>2421.2169793868584</v>
      </c>
      <c r="CF24" s="84">
        <f t="shared" ca="1" si="68"/>
        <v>150518.38481844394</v>
      </c>
      <c r="CG24" s="84">
        <f t="shared" ca="1" si="69"/>
        <v>246268.60187064917</v>
      </c>
      <c r="CH24" s="21">
        <f t="shared" ca="1" si="49"/>
        <v>4.5245806662427501E-2</v>
      </c>
    </row>
    <row r="25" spans="1:100" x14ac:dyDescent="0.25">
      <c r="B25">
        <f t="shared" si="29"/>
        <v>21</v>
      </c>
      <c r="C25" s="89">
        <v>2013</v>
      </c>
      <c r="D25" s="69">
        <v>414</v>
      </c>
      <c r="E25" s="69">
        <v>317</v>
      </c>
      <c r="F25" s="69">
        <v>505</v>
      </c>
      <c r="I25" s="89">
        <v>2013</v>
      </c>
      <c r="J25" s="69">
        <v>70</v>
      </c>
      <c r="K25" s="69">
        <v>54</v>
      </c>
      <c r="L25" s="69">
        <v>85</v>
      </c>
      <c r="P25" s="94">
        <f ca="1">INDIRECT(A23&amp;"!c10")</f>
        <v>0.15</v>
      </c>
      <c r="T25" s="69" t="s">
        <v>112</v>
      </c>
      <c r="U25">
        <v>0</v>
      </c>
      <c r="X25" s="85">
        <f t="shared" si="70"/>
        <v>2030</v>
      </c>
      <c r="Y25" s="84">
        <f t="shared" ref="Y25:AK25" ca="1" si="88">Y20*(1+AO25)^($X25-$X20)</f>
        <v>8997.8996347244702</v>
      </c>
      <c r="Z25" s="84">
        <f t="shared" ca="1" si="88"/>
        <v>1218.8313040604082</v>
      </c>
      <c r="AA25" s="84">
        <f t="shared" ca="1" si="88"/>
        <v>701.97022444653805</v>
      </c>
      <c r="AB25" s="84">
        <f t="shared" ca="1" si="88"/>
        <v>2625.9874272552893</v>
      </c>
      <c r="AC25" s="84">
        <f t="shared" ca="1" si="88"/>
        <v>1362.6461269279118</v>
      </c>
      <c r="AD25" s="84">
        <f t="shared" ca="1" si="88"/>
        <v>650.79671093156037</v>
      </c>
      <c r="AE25" s="84">
        <f t="shared" ca="1" si="88"/>
        <v>5192.8502600433521</v>
      </c>
      <c r="AF25" s="84">
        <f t="shared" ca="1" si="88"/>
        <v>16798.236128311055</v>
      </c>
      <c r="AG25" s="84">
        <f t="shared" ca="1" si="88"/>
        <v>31014.058998366516</v>
      </c>
      <c r="AH25" s="84">
        <f t="shared" ca="1" si="88"/>
        <v>9917.433942911035</v>
      </c>
      <c r="AI25" s="84">
        <f t="shared" ca="1" si="88"/>
        <v>3356.6758879355202</v>
      </c>
      <c r="AJ25" s="84">
        <f t="shared" ca="1" si="88"/>
        <v>2496.5611450802548</v>
      </c>
      <c r="AK25" s="84">
        <f t="shared" ca="1" si="88"/>
        <v>152232.37173580937</v>
      </c>
      <c r="AL25" s="105">
        <f t="shared" ca="1" si="30"/>
        <v>236566.31952680327</v>
      </c>
      <c r="AM25" s="94">
        <f ca="1">AK25/AL25</f>
        <v>0.64350822230449101</v>
      </c>
      <c r="AN25">
        <f>X25</f>
        <v>2030</v>
      </c>
      <c r="AO25" s="21">
        <f ca="1">FORECAST($AN25,AO16:AO20,$AN16:$AN20)</f>
        <v>5.2009884793987382E-2</v>
      </c>
      <c r="AP25" s="21">
        <f ca="1">FORECAST($AN25,AP16:AP20,$AN16:$AN20)</f>
        <v>3.6870525945763843E-2</v>
      </c>
      <c r="AQ25" s="21">
        <f ca="1">FORECAST($AN25,AQ$17:AQ$20,$AN$17:$AN$20)</f>
        <v>5.1924179110171886E-2</v>
      </c>
      <c r="AR25" s="21">
        <f t="shared" ca="1" si="73"/>
        <v>2.6151224190554601E-2</v>
      </c>
      <c r="AS25" s="21">
        <f t="shared" ca="1" si="73"/>
        <v>3.3260781124338834E-2</v>
      </c>
      <c r="AT25" s="21">
        <f t="shared" ca="1" si="74"/>
        <v>6.1011271396262279E-2</v>
      </c>
      <c r="AU25" s="21">
        <f t="shared" ref="AU25:BA25" ca="1" si="89">FORECAST($AN25,AU16:AU20,$AN16:$AN20)</f>
        <v>3.9326084939804939E-2</v>
      </c>
      <c r="AV25" s="21">
        <f t="shared" ca="1" si="89"/>
        <v>4.8061971230432654E-2</v>
      </c>
      <c r="AW25" s="21">
        <f t="shared" ca="1" si="89"/>
        <v>6.3170531680205089E-2</v>
      </c>
      <c r="AX25" s="21">
        <f t="shared" ca="1" si="89"/>
        <v>6.2793457100255967E-2</v>
      </c>
      <c r="AY25" s="21">
        <f t="shared" ca="1" si="89"/>
        <v>6.8687144689089097E-2</v>
      </c>
      <c r="AZ25" s="21">
        <f t="shared" ca="1" si="89"/>
        <v>4.1321885985801998E-2</v>
      </c>
      <c r="BA25" s="21">
        <f t="shared" ca="1" si="89"/>
        <v>4.1219311436925032E-2</v>
      </c>
      <c r="BC25">
        <f t="shared" si="9"/>
        <v>2030</v>
      </c>
      <c r="BD25" s="84">
        <f t="shared" ref="BD25:BI26" ca="1" si="90">FORECAST($BC25,BD15:BD20,$BC15:$BC20)</f>
        <v>0</v>
      </c>
      <c r="BE25" s="84">
        <f t="shared" ca="1" si="90"/>
        <v>0</v>
      </c>
      <c r="BF25" s="84">
        <f t="shared" ca="1" si="90"/>
        <v>701</v>
      </c>
      <c r="BG25" s="84">
        <f t="shared" ca="1" si="90"/>
        <v>5697.4761904761835</v>
      </c>
      <c r="BH25" s="84">
        <f t="shared" ca="1" si="90"/>
        <v>5256</v>
      </c>
      <c r="BI25" s="84">
        <f t="shared" ca="1" si="90"/>
        <v>1840</v>
      </c>
      <c r="BJ25" s="84">
        <f t="shared" ref="BJ25" ca="1" si="91">FORECAST($BC25,BJ19:BJ24,$BC19:$BC24)</f>
        <v>0</v>
      </c>
      <c r="BK25" s="84">
        <f t="shared" ref="BK25" ca="1" si="92">FORECAST($BC25,BK19:BK24,$BC19:$BC24)</f>
        <v>0</v>
      </c>
      <c r="BL25" s="84">
        <f ca="1">FORECAST($BC25,BL15:BL20,$BC15:$BC20)</f>
        <v>1971</v>
      </c>
      <c r="BM25" s="84">
        <f ca="1">FORECAST($BC25,BM15:BM20,$BC15:$BC20)</f>
        <v>0</v>
      </c>
      <c r="BN25" s="84">
        <f t="shared" ca="1" si="85"/>
        <v>0</v>
      </c>
      <c r="BO25" s="84">
        <f ca="1">FORECAST($BC25,BO15:BO20,$BC15:$BC20)</f>
        <v>0</v>
      </c>
      <c r="BP25" s="84">
        <f ca="1">FORECAST($BC25,BP15:BP20,$BC15:$BC20)</f>
        <v>0</v>
      </c>
      <c r="BQ25" s="84">
        <f t="shared" ca="1" si="34"/>
        <v>15465.476190476184</v>
      </c>
      <c r="BS25">
        <f t="shared" si="27"/>
        <v>2030</v>
      </c>
      <c r="BT25" s="84">
        <f t="shared" ca="1" si="35"/>
        <v>8997.8996347244702</v>
      </c>
      <c r="BU25" s="84">
        <f t="shared" ca="1" si="36"/>
        <v>1218.8313040604082</v>
      </c>
      <c r="BV25" s="84">
        <f t="shared" ca="1" si="37"/>
        <v>1402.9702244465379</v>
      </c>
      <c r="BW25" s="84">
        <f t="shared" ca="1" si="38"/>
        <v>8323.4636177314733</v>
      </c>
      <c r="BX25" s="84">
        <f t="shared" ca="1" si="39"/>
        <v>6618.6461269279116</v>
      </c>
      <c r="BY25" s="84">
        <f t="shared" ca="1" si="40"/>
        <v>2490.7967109315605</v>
      </c>
      <c r="BZ25" s="84">
        <f t="shared" ca="1" si="41"/>
        <v>5192.8502600433521</v>
      </c>
      <c r="CA25" s="84">
        <f t="shared" ca="1" si="42"/>
        <v>16798.236128311055</v>
      </c>
      <c r="CB25" s="84">
        <f t="shared" ca="1" si="43"/>
        <v>32985.058998366512</v>
      </c>
      <c r="CC25" s="84">
        <f t="shared" ca="1" si="44"/>
        <v>9917.433942911035</v>
      </c>
      <c r="CD25" s="84">
        <f t="shared" ca="1" si="45"/>
        <v>3356.6758879355202</v>
      </c>
      <c r="CE25" s="84">
        <f t="shared" ca="1" si="46"/>
        <v>2496.5611450802548</v>
      </c>
      <c r="CF25" s="84">
        <f t="shared" ca="1" si="47"/>
        <v>152232.37173580937</v>
      </c>
      <c r="CG25" s="84">
        <f t="shared" ca="1" si="48"/>
        <v>252031.79571727948</v>
      </c>
      <c r="CH25" s="21">
        <f t="shared" ca="1" si="49"/>
        <v>2.3402065073879763E-2</v>
      </c>
    </row>
    <row r="26" spans="1:100" x14ac:dyDescent="0.25">
      <c r="B26">
        <f t="shared" si="29"/>
        <v>22</v>
      </c>
      <c r="C26" s="89">
        <v>2014</v>
      </c>
      <c r="D26" s="69">
        <v>496</v>
      </c>
      <c r="E26" s="69">
        <v>385</v>
      </c>
      <c r="F26" s="69">
        <v>595</v>
      </c>
      <c r="I26" s="89">
        <v>2014</v>
      </c>
      <c r="J26" s="69">
        <v>79</v>
      </c>
      <c r="K26" s="69">
        <v>62</v>
      </c>
      <c r="L26" s="69">
        <v>95</v>
      </c>
      <c r="T26" s="69" t="s">
        <v>113</v>
      </c>
      <c r="U26">
        <v>0</v>
      </c>
      <c r="X26" s="85">
        <f t="shared" si="70"/>
        <v>2031</v>
      </c>
      <c r="Y26" s="84">
        <f t="shared" ca="1" si="71"/>
        <v>9465.8793581143509</v>
      </c>
      <c r="Z26" s="84">
        <f t="shared" ref="Z26" ca="1" si="93">Z25*(1+AP26)</f>
        <v>1263.7702552802766</v>
      </c>
      <c r="AA26" s="84">
        <f t="shared" ref="AA26" ca="1" si="94">AA25*(1+AQ26)</f>
        <v>738.41945211070765</v>
      </c>
      <c r="AB26" s="84">
        <f t="shared" ref="AB26" ca="1" si="95">AB25*(1+AR26)</f>
        <v>2694.66021318702</v>
      </c>
      <c r="AC26" s="84">
        <f t="shared" ref="AC26" ca="1" si="96">AC25*(1+AS26)</f>
        <v>1407.9688015055892</v>
      </c>
      <c r="AD26" s="84">
        <f t="shared" ref="AD26" ca="1" si="97">AD25*(1+AT26)</f>
        <v>690.50264568600062</v>
      </c>
      <c r="AE26" s="84">
        <f t="shared" ref="AE26" ca="1" si="98">AE25*(1+AU26)</f>
        <v>5397.0647304495051</v>
      </c>
      <c r="AF26" s="84">
        <f t="shared" ref="AF26" ca="1" si="99">AF25*(1+AV26)</f>
        <v>17605.592469831954</v>
      </c>
      <c r="AG26" s="84">
        <f t="shared" ref="AG26" ca="1" si="100">AG25*(1+AW26)</f>
        <v>32973.233594854581</v>
      </c>
      <c r="AH26" s="84">
        <f t="shared" ref="AH26" ca="1" si="101">AH25*(1+AX26)</f>
        <v>10540.183905749842</v>
      </c>
      <c r="AI26" s="84">
        <f t="shared" ref="AI26" ca="1" si="102">AI25*(1+AY26)</f>
        <v>3587.2363703245237</v>
      </c>
      <c r="AJ26" s="84">
        <f t="shared" ref="AJ26" ca="1" si="103">AJ25*(1+AZ26)</f>
        <v>2599.7237600738445</v>
      </c>
      <c r="AK26" s="84">
        <f t="shared" ref="AK26" ca="1" si="104">AK25*(1+BA26)</f>
        <v>158507.28527716943</v>
      </c>
      <c r="AL26" s="105">
        <f t="shared" ca="1" si="30"/>
        <v>247471.52083433763</v>
      </c>
      <c r="AM26" s="94"/>
      <c r="AN26">
        <f>X26</f>
        <v>2031</v>
      </c>
      <c r="AO26" s="21">
        <f ca="1">AO25</f>
        <v>5.2009884793987382E-2</v>
      </c>
      <c r="AP26" s="21">
        <f t="shared" ref="AP26:BA26" ca="1" si="105">AP25</f>
        <v>3.6870525945763843E-2</v>
      </c>
      <c r="AQ26" s="21">
        <f t="shared" ca="1" si="105"/>
        <v>5.1924179110171886E-2</v>
      </c>
      <c r="AR26" s="21">
        <f t="shared" ca="1" si="105"/>
        <v>2.6151224190554601E-2</v>
      </c>
      <c r="AS26" s="21">
        <f t="shared" ca="1" si="105"/>
        <v>3.3260781124338834E-2</v>
      </c>
      <c r="AT26" s="21">
        <f t="shared" ca="1" si="105"/>
        <v>6.1011271396262279E-2</v>
      </c>
      <c r="AU26" s="21">
        <f t="shared" ca="1" si="105"/>
        <v>3.9326084939804939E-2</v>
      </c>
      <c r="AV26" s="21">
        <f t="shared" ca="1" si="105"/>
        <v>4.8061971230432654E-2</v>
      </c>
      <c r="AW26" s="21">
        <f t="shared" ca="1" si="105"/>
        <v>6.3170531680205089E-2</v>
      </c>
      <c r="AX26" s="21">
        <f t="shared" ca="1" si="105"/>
        <v>6.2793457100255967E-2</v>
      </c>
      <c r="AY26" s="21">
        <f t="shared" ca="1" si="105"/>
        <v>6.8687144689089097E-2</v>
      </c>
      <c r="AZ26" s="21">
        <f t="shared" ca="1" si="105"/>
        <v>4.1321885985801998E-2</v>
      </c>
      <c r="BA26" s="21">
        <f t="shared" ca="1" si="105"/>
        <v>4.1219311436925032E-2</v>
      </c>
      <c r="BC26">
        <f t="shared" si="9"/>
        <v>2031</v>
      </c>
      <c r="BD26" s="84">
        <f t="shared" ca="1" si="90"/>
        <v>0</v>
      </c>
      <c r="BE26" s="84">
        <f t="shared" ca="1" si="90"/>
        <v>0</v>
      </c>
      <c r="BF26" s="84">
        <f t="shared" ca="1" si="90"/>
        <v>701</v>
      </c>
      <c r="BG26" s="84">
        <f t="shared" ca="1" si="90"/>
        <v>5775.6031746031658</v>
      </c>
      <c r="BH26" s="84">
        <f t="shared" ca="1" si="90"/>
        <v>5256</v>
      </c>
      <c r="BI26" s="84">
        <f t="shared" ca="1" si="90"/>
        <v>1840</v>
      </c>
      <c r="BJ26" s="84">
        <f t="shared" ref="BJ26" ca="1" si="106">FORECAST($BC26,BJ20:BJ25,$BC20:$BC25)</f>
        <v>0</v>
      </c>
      <c r="BK26" s="84">
        <f t="shared" ref="BK26" ca="1" si="107">FORECAST($BC26,BK20:BK25,$BC20:$BC25)</f>
        <v>0</v>
      </c>
      <c r="BL26" s="84">
        <f ca="1">FORECAST($BC26,BL16:BL21,$BC16:$BC21)</f>
        <v>1971</v>
      </c>
      <c r="BM26" s="84">
        <f ca="1">FORECAST($BC26,BM16:BM21,$BC16:$BC21)</f>
        <v>0</v>
      </c>
      <c r="BN26" s="84">
        <f t="shared" ref="BN26" ca="1" si="108">FORECAST($BC26,BN20:BN25,$BC20:$BC25)</f>
        <v>0</v>
      </c>
      <c r="BO26" s="84">
        <f ca="1">FORECAST($BC26,BO16:BO21,$BC16:$BC21)</f>
        <v>0</v>
      </c>
      <c r="BP26" s="84">
        <f ca="1">FORECAST($BC26,BP16:BP21,$BC16:$BC21)</f>
        <v>0</v>
      </c>
      <c r="BQ26" s="84">
        <f t="shared" ref="BQ26" ca="1" si="109">SUM(BD26:BP26)</f>
        <v>15543.603174603166</v>
      </c>
      <c r="BS26">
        <f t="shared" ref="BS26" si="110">BC26</f>
        <v>2031</v>
      </c>
      <c r="BT26" s="84">
        <f t="shared" ref="BT26" ca="1" si="111">BD26+Y26</f>
        <v>9465.8793581143509</v>
      </c>
      <c r="BU26" s="84">
        <f t="shared" ref="BU26" ca="1" si="112">BE26+Z26</f>
        <v>1263.7702552802766</v>
      </c>
      <c r="BV26" s="84">
        <f t="shared" ref="BV26" ca="1" si="113">BF26+AA26</f>
        <v>1439.4194521107077</v>
      </c>
      <c r="BW26" s="84">
        <f t="shared" ref="BW26" ca="1" si="114">BG26+AB26</f>
        <v>8470.2633877901862</v>
      </c>
      <c r="BX26" s="84">
        <f t="shared" ref="BX26" ca="1" si="115">BH26+AC26</f>
        <v>6663.968801505589</v>
      </c>
      <c r="BY26" s="84">
        <f t="shared" ref="BY26" ca="1" si="116">BI26+AD26</f>
        <v>2530.5026456860005</v>
      </c>
      <c r="BZ26" s="84">
        <f t="shared" ref="BZ26" ca="1" si="117">BJ26+AE26</f>
        <v>5397.0647304495051</v>
      </c>
      <c r="CA26" s="84">
        <f t="shared" ref="CA26" ca="1" si="118">BK26+AF26</f>
        <v>17605.592469831954</v>
      </c>
      <c r="CB26" s="84">
        <f t="shared" ref="CB26" ca="1" si="119">BL26+AG26</f>
        <v>34944.233594854581</v>
      </c>
      <c r="CC26" s="84">
        <f t="shared" ref="CC26" ca="1" si="120">BM26+AH26</f>
        <v>10540.183905749842</v>
      </c>
      <c r="CD26" s="84">
        <f t="shared" ref="CD26" ca="1" si="121">BN26+AI26</f>
        <v>3587.2363703245237</v>
      </c>
      <c r="CE26" s="84">
        <f t="shared" ref="CE26" ca="1" si="122">BO26+AJ26</f>
        <v>2599.7237600738445</v>
      </c>
      <c r="CF26" s="84">
        <f t="shared" ref="CF26" ca="1" si="123">BP26+AK26</f>
        <v>158507.28527716943</v>
      </c>
      <c r="CG26" s="84">
        <f t="shared" ref="CG26" ca="1" si="124">SUM(BT26:CF26)</f>
        <v>263015.12400894077</v>
      </c>
    </row>
    <row r="27" spans="1:100" x14ac:dyDescent="0.25">
      <c r="B27">
        <f t="shared" si="29"/>
        <v>23</v>
      </c>
      <c r="C27" s="89">
        <v>2015</v>
      </c>
      <c r="D27" s="69">
        <v>586</v>
      </c>
      <c r="E27" s="69">
        <v>414</v>
      </c>
      <c r="F27" s="69">
        <v>738</v>
      </c>
      <c r="I27" s="89">
        <v>2015</v>
      </c>
      <c r="J27" s="69">
        <v>94</v>
      </c>
      <c r="K27" s="69">
        <v>66</v>
      </c>
      <c r="L27" s="69">
        <v>118</v>
      </c>
      <c r="P27" s="72"/>
      <c r="T27" s="69" t="s">
        <v>114</v>
      </c>
      <c r="U27">
        <v>0</v>
      </c>
      <c r="X27">
        <v>2040</v>
      </c>
      <c r="Y27" s="84">
        <f t="shared" ref="Y27:AK27" ca="1" si="125">Y25*(1+AO27)^($X27-$X25)</f>
        <v>14939.613075592211</v>
      </c>
      <c r="Z27" s="84">
        <f t="shared" ca="1" si="125"/>
        <v>1750.6079406297472</v>
      </c>
      <c r="AA27" s="84">
        <f t="shared" ca="1" si="125"/>
        <v>1123.7041748604579</v>
      </c>
      <c r="AB27" s="84">
        <f t="shared" ca="1" si="125"/>
        <v>3399.4316875707341</v>
      </c>
      <c r="AC27" s="84">
        <f t="shared" ca="1" si="125"/>
        <v>1890.0902445193901</v>
      </c>
      <c r="AD27" s="84">
        <f t="shared" ca="1" si="125"/>
        <v>1176.6446510256521</v>
      </c>
      <c r="AE27" s="84">
        <f t="shared" ca="1" si="125"/>
        <v>7637.0225460816573</v>
      </c>
      <c r="AF27" s="84">
        <f t="shared" ca="1" si="125"/>
        <v>26861.688673593158</v>
      </c>
      <c r="AG27" s="84">
        <f t="shared" ca="1" si="125"/>
        <v>57225.278454944542</v>
      </c>
      <c r="AH27" s="84">
        <f t="shared" ca="1" si="125"/>
        <v>18234.255561464535</v>
      </c>
      <c r="AI27" s="84">
        <f t="shared" ca="1" si="125"/>
        <v>6522.5176284215768</v>
      </c>
      <c r="AJ27" s="84">
        <f t="shared" ca="1" si="125"/>
        <v>3742.7616414953823</v>
      </c>
      <c r="AK27" s="84">
        <f t="shared" ca="1" si="125"/>
        <v>227997.01287633003</v>
      </c>
      <c r="AL27" s="105">
        <f t="shared" ca="1" si="30"/>
        <v>372500.62915652909</v>
      </c>
      <c r="AM27" s="94">
        <f ca="1">(AK25+AF25+AG25)/AL25</f>
        <v>0.84561769935225972</v>
      </c>
      <c r="AN27">
        <f t="shared" si="31"/>
        <v>2040</v>
      </c>
      <c r="AO27" s="21">
        <f ca="1">AO25</f>
        <v>5.2009884793987382E-2</v>
      </c>
      <c r="AP27" s="21">
        <f ca="1">AP25</f>
        <v>3.6870525945763843E-2</v>
      </c>
      <c r="AQ27" s="21">
        <f t="shared" ca="1" si="73"/>
        <v>4.8173873366200048E-2</v>
      </c>
      <c r="AR27" s="21">
        <f t="shared" ref="AR27:BA27" ca="1" si="126">AR25</f>
        <v>2.6151224190554601E-2</v>
      </c>
      <c r="AS27" s="21">
        <f t="shared" ca="1" si="126"/>
        <v>3.3260781124338834E-2</v>
      </c>
      <c r="AT27" s="21">
        <f t="shared" ca="1" si="126"/>
        <v>6.1011271396262279E-2</v>
      </c>
      <c r="AU27" s="21">
        <f t="shared" ca="1" si="126"/>
        <v>3.9326084939804939E-2</v>
      </c>
      <c r="AV27" s="21">
        <f t="shared" ca="1" si="126"/>
        <v>4.8061971230432654E-2</v>
      </c>
      <c r="AW27" s="21">
        <f t="shared" ca="1" si="126"/>
        <v>6.3170531680205089E-2</v>
      </c>
      <c r="AX27" s="21">
        <f t="shared" ca="1" si="126"/>
        <v>6.2793457100255967E-2</v>
      </c>
      <c r="AY27" s="21">
        <f t="shared" ca="1" si="126"/>
        <v>6.8687144689089097E-2</v>
      </c>
      <c r="AZ27" s="21">
        <f t="shared" ca="1" si="126"/>
        <v>4.1321885985801998E-2</v>
      </c>
      <c r="BA27" s="21">
        <f t="shared" ca="1" si="126"/>
        <v>4.1219311436925032E-2</v>
      </c>
      <c r="BC27">
        <f t="shared" si="9"/>
        <v>2040</v>
      </c>
      <c r="BD27" s="84">
        <f t="shared" ref="BD27:BI27" ca="1" si="127">FORECAST($BC27,BD16:BD25,$BC16:$BC25)</f>
        <v>0</v>
      </c>
      <c r="BE27" s="84">
        <f t="shared" ca="1" si="127"/>
        <v>0</v>
      </c>
      <c r="BF27" s="84">
        <f t="shared" ca="1" si="127"/>
        <v>701</v>
      </c>
      <c r="BG27" s="84">
        <f t="shared" ca="1" si="127"/>
        <v>6464.1410340441216</v>
      </c>
      <c r="BH27" s="84">
        <f t="shared" ca="1" si="127"/>
        <v>5256</v>
      </c>
      <c r="BI27" s="84">
        <f t="shared" ca="1" si="127"/>
        <v>1840</v>
      </c>
      <c r="BJ27" s="84">
        <f ca="1">FORECAST($BC27,BJ20:BJ25,$BC20:$BC25)</f>
        <v>0</v>
      </c>
      <c r="BK27" s="84">
        <f ca="1">FORECAST($BC27,BK20:BK25,$BC20:$BC25)</f>
        <v>0</v>
      </c>
      <c r="BL27" s="84">
        <f ca="1">FORECAST($BC27,BL16:BL25,$BC16:$BC25)</f>
        <v>1971</v>
      </c>
      <c r="BM27" s="84">
        <f ca="1">FORECAST($BC27,BM16:BM25,$BC16:$BC25)</f>
        <v>0</v>
      </c>
      <c r="BN27" s="84">
        <f ca="1">FORECAST($BC27,BN20:BN25,$BC20:$BC25)</f>
        <v>0</v>
      </c>
      <c r="BO27" s="84">
        <f ca="1">FORECAST($BC27,BO16:BO25,$BC16:$BC25)</f>
        <v>0</v>
      </c>
      <c r="BP27" s="84">
        <f ca="1">FORECAST($BC27,BP16:BP25,$BC16:$BC25)</f>
        <v>0</v>
      </c>
      <c r="BQ27" s="84">
        <f t="shared" ca="1" si="34"/>
        <v>16232.141034044122</v>
      </c>
      <c r="BS27">
        <f t="shared" si="27"/>
        <v>2040</v>
      </c>
      <c r="BT27" s="84">
        <f t="shared" ca="1" si="35"/>
        <v>14939.613075592211</v>
      </c>
      <c r="BU27" s="84">
        <f t="shared" ca="1" si="36"/>
        <v>1750.6079406297472</v>
      </c>
      <c r="BV27" s="84">
        <f t="shared" ca="1" si="37"/>
        <v>1824.7041748604579</v>
      </c>
      <c r="BW27" s="84">
        <f t="shared" ca="1" si="38"/>
        <v>9863.5727216148553</v>
      </c>
      <c r="BX27" s="84">
        <f t="shared" ca="1" si="39"/>
        <v>7146.0902445193897</v>
      </c>
      <c r="BY27" s="84">
        <f t="shared" ca="1" si="40"/>
        <v>3016.6446510256519</v>
      </c>
      <c r="BZ27" s="84">
        <f t="shared" ca="1" si="41"/>
        <v>7637.0225460816573</v>
      </c>
      <c r="CA27" s="84">
        <f t="shared" ca="1" si="42"/>
        <v>26861.688673593158</v>
      </c>
      <c r="CB27" s="84">
        <f t="shared" ca="1" si="43"/>
        <v>59196.278454944542</v>
      </c>
      <c r="CC27" s="84">
        <f t="shared" ca="1" si="44"/>
        <v>18234.255561464535</v>
      </c>
      <c r="CD27" s="84">
        <f t="shared" ca="1" si="45"/>
        <v>6522.5176284215768</v>
      </c>
      <c r="CE27" s="84">
        <f t="shared" ca="1" si="46"/>
        <v>3742.7616414953823</v>
      </c>
      <c r="CF27" s="84">
        <f t="shared" ca="1" si="47"/>
        <v>227997.01287633003</v>
      </c>
      <c r="CG27" s="84">
        <f t="shared" ca="1" si="48"/>
        <v>388732.77019057318</v>
      </c>
    </row>
    <row r="28" spans="1:100" x14ac:dyDescent="0.25">
      <c r="B28">
        <f t="shared" si="29"/>
        <v>24</v>
      </c>
      <c r="C28" s="89">
        <v>2016</v>
      </c>
      <c r="D28" s="69">
        <v>747</v>
      </c>
      <c r="E28" s="69">
        <v>455</v>
      </c>
      <c r="F28" s="69">
        <v>856</v>
      </c>
      <c r="I28" s="89">
        <v>2016</v>
      </c>
      <c r="J28" s="69">
        <v>119</v>
      </c>
      <c r="K28" s="69">
        <v>73</v>
      </c>
      <c r="L28" s="69">
        <v>137</v>
      </c>
      <c r="T28" s="69" t="s">
        <v>115</v>
      </c>
      <c r="U28">
        <v>0</v>
      </c>
      <c r="X28">
        <v>2050</v>
      </c>
      <c r="Y28" s="84">
        <f t="shared" ref="Y28:AA28" ca="1" si="128">Y27*(1+AO28)^($X28-$X27)</f>
        <v>24804.904245327278</v>
      </c>
      <c r="Z28" s="84">
        <f t="shared" ca="1" si="128"/>
        <v>2514.3989587291026</v>
      </c>
      <c r="AA28" s="84">
        <f t="shared" ca="1" si="128"/>
        <v>1735.4760568896427</v>
      </c>
      <c r="AB28" s="84">
        <f ca="1">AB27*(1+AR28)^($X28-$X27)</f>
        <v>4400.6820743001836</v>
      </c>
      <c r="AC28" s="84">
        <f t="shared" ref="AC28:AK28" ca="1" si="129">AC27*(1+AS28)^($X28-$X27)</f>
        <v>2621.6939686912278</v>
      </c>
      <c r="AD28" s="84">
        <f t="shared" ca="1" si="129"/>
        <v>2127.3811184532492</v>
      </c>
      <c r="AE28" s="84">
        <f t="shared" ca="1" si="129"/>
        <v>11231.618561801673</v>
      </c>
      <c r="AF28" s="84">
        <f t="shared" ca="1" si="129"/>
        <v>42953.933549068985</v>
      </c>
      <c r="AG28" s="84">
        <f t="shared" ca="1" si="129"/>
        <v>105588.64592404423</v>
      </c>
      <c r="AH28" s="84">
        <f t="shared" ca="1" si="129"/>
        <v>33525.615375382687</v>
      </c>
      <c r="AI28" s="84">
        <f t="shared" ca="1" si="129"/>
        <v>12674.21628819692</v>
      </c>
      <c r="AJ28" s="84">
        <f t="shared" ca="1" si="129"/>
        <v>5611.0240811261592</v>
      </c>
      <c r="AK28" s="84">
        <f t="shared" ca="1" si="129"/>
        <v>341469.01403298322</v>
      </c>
      <c r="AL28" s="105">
        <f t="shared" ca="1" si="30"/>
        <v>591258.60423499451</v>
      </c>
      <c r="AM28" s="94">
        <f ca="1">AK28/AL28</f>
        <v>0.57752903989413584</v>
      </c>
      <c r="AN28">
        <f t="shared" si="31"/>
        <v>2050</v>
      </c>
      <c r="AO28" s="21">
        <f ca="1">AO27</f>
        <v>5.2009884793987382E-2</v>
      </c>
      <c r="AP28" s="21">
        <f t="shared" ref="AP28" ca="1" si="130">AP27</f>
        <v>3.6870525945763843E-2</v>
      </c>
      <c r="AQ28" s="21">
        <f t="shared" ca="1" si="73"/>
        <v>4.4423567622228211E-2</v>
      </c>
      <c r="AR28" s="21">
        <f t="shared" ref="AR28" ca="1" si="131">AR27</f>
        <v>2.6151224190554601E-2</v>
      </c>
      <c r="AS28" s="21">
        <f t="shared" ref="AS28" ca="1" si="132">AS27</f>
        <v>3.3260781124338834E-2</v>
      </c>
      <c r="AT28" s="21">
        <f t="shared" ref="AT28" ca="1" si="133">AT27</f>
        <v>6.1011271396262279E-2</v>
      </c>
      <c r="AU28" s="21">
        <f t="shared" ref="AU28" ca="1" si="134">AU27</f>
        <v>3.9326084939804939E-2</v>
      </c>
      <c r="AV28" s="21">
        <f t="shared" ref="AV28" ca="1" si="135">AV27</f>
        <v>4.8061971230432654E-2</v>
      </c>
      <c r="AW28" s="21">
        <f t="shared" ref="AW28" ca="1" si="136">AW27</f>
        <v>6.3170531680205089E-2</v>
      </c>
      <c r="AX28" s="21">
        <f t="shared" ref="AX28" ca="1" si="137">AX27</f>
        <v>6.2793457100255967E-2</v>
      </c>
      <c r="AY28" s="21">
        <f t="shared" ref="AY28" ca="1" si="138">AY27</f>
        <v>6.8687144689089097E-2</v>
      </c>
      <c r="AZ28" s="21">
        <f t="shared" ref="AZ28" ca="1" si="139">AZ27</f>
        <v>4.1321885985801998E-2</v>
      </c>
      <c r="BA28" s="21">
        <f t="shared" ref="BA28" ca="1" si="140">BA27</f>
        <v>4.1219311436925032E-2</v>
      </c>
      <c r="BC28">
        <f t="shared" si="9"/>
        <v>2050</v>
      </c>
      <c r="BD28" s="84">
        <f t="shared" ref="BD28:BI28" ca="1" si="141">FORECAST($BC28,BD17:BD27,$BC17:$BC27)</f>
        <v>0</v>
      </c>
      <c r="BE28" s="84">
        <f t="shared" ca="1" si="141"/>
        <v>0</v>
      </c>
      <c r="BF28" s="84">
        <f t="shared" ca="1" si="141"/>
        <v>701</v>
      </c>
      <c r="BG28" s="84">
        <f t="shared" ca="1" si="141"/>
        <v>7229.9493679324223</v>
      </c>
      <c r="BH28" s="84">
        <f t="shared" ca="1" si="141"/>
        <v>5256</v>
      </c>
      <c r="BI28" s="84">
        <f t="shared" ca="1" si="141"/>
        <v>1840</v>
      </c>
      <c r="BJ28" s="84">
        <f ca="1">FORECAST($BC28,BJ21:BJ27,$BC21:$BC27)</f>
        <v>0</v>
      </c>
      <c r="BK28" s="84">
        <f ca="1">FORECAST($BC28,BK21:BK27,$BC21:$BC27)</f>
        <v>0</v>
      </c>
      <c r="BL28" s="84">
        <f ca="1">FORECAST($BC28,BL17:BL27,$BC17:$BC27)</f>
        <v>1971</v>
      </c>
      <c r="BM28" s="84">
        <f ca="1">FORECAST($BC28,BM17:BM27,$BC17:$BC27)</f>
        <v>0</v>
      </c>
      <c r="BN28" s="84">
        <f ca="1">FORECAST($BC28,BN21:BN27,$BC21:$BC27)</f>
        <v>0</v>
      </c>
      <c r="BO28" s="84">
        <f ca="1">FORECAST($BC28,BO17:BO27,$BC17:$BC27)</f>
        <v>0</v>
      </c>
      <c r="BP28" s="84">
        <f ca="1">FORECAST($BC28,BP17:BP27,$BC17:$BC27)</f>
        <v>0</v>
      </c>
      <c r="BQ28" s="84">
        <f t="shared" ca="1" si="34"/>
        <v>16997.949367932422</v>
      </c>
      <c r="BR28" s="112"/>
      <c r="BS28">
        <f>BC28</f>
        <v>2050</v>
      </c>
      <c r="BT28" s="84">
        <f t="shared" ca="1" si="35"/>
        <v>24804.904245327278</v>
      </c>
      <c r="BU28" s="84">
        <f t="shared" ca="1" si="36"/>
        <v>2514.3989587291026</v>
      </c>
      <c r="BV28" s="84">
        <f t="shared" ca="1" si="37"/>
        <v>2436.4760568896427</v>
      </c>
      <c r="BW28" s="84">
        <f t="shared" ca="1" si="38"/>
        <v>11630.631442232607</v>
      </c>
      <c r="BX28" s="84">
        <f t="shared" ca="1" si="39"/>
        <v>7877.6939686912283</v>
      </c>
      <c r="BY28" s="84">
        <f t="shared" ca="1" si="40"/>
        <v>3967.3811184532492</v>
      </c>
      <c r="BZ28" s="84">
        <f t="shared" ca="1" si="41"/>
        <v>11231.618561801673</v>
      </c>
      <c r="CA28" s="84">
        <f t="shared" ca="1" si="42"/>
        <v>42953.933549068985</v>
      </c>
      <c r="CB28" s="84">
        <f t="shared" ca="1" si="43"/>
        <v>107559.64592404423</v>
      </c>
      <c r="CC28" s="84">
        <f t="shared" ca="1" si="44"/>
        <v>33525.615375382687</v>
      </c>
      <c r="CD28" s="84">
        <f t="shared" ca="1" si="45"/>
        <v>12674.21628819692</v>
      </c>
      <c r="CE28" s="84">
        <f t="shared" ca="1" si="46"/>
        <v>5611.0240811261592</v>
      </c>
      <c r="CF28" s="84">
        <f t="shared" ca="1" si="47"/>
        <v>341469.01403298322</v>
      </c>
      <c r="CG28" s="84">
        <f t="shared" ca="1" si="48"/>
        <v>608256.5536029269</v>
      </c>
    </row>
    <row r="29" spans="1:100" x14ac:dyDescent="0.25">
      <c r="B29">
        <f t="shared" si="29"/>
        <v>25</v>
      </c>
      <c r="C29" s="89">
        <v>2017</v>
      </c>
      <c r="D29" s="69">
        <v>771</v>
      </c>
      <c r="E29" s="69">
        <v>496</v>
      </c>
      <c r="F29" s="69">
        <v>890</v>
      </c>
      <c r="I29" s="89">
        <v>2017</v>
      </c>
      <c r="J29" s="69">
        <v>123</v>
      </c>
      <c r="K29" s="69">
        <v>79</v>
      </c>
      <c r="L29" s="69">
        <v>142</v>
      </c>
      <c r="T29" s="69" t="s">
        <v>116</v>
      </c>
      <c r="U29">
        <v>0</v>
      </c>
      <c r="BJ29" s="112"/>
      <c r="BK29" s="112"/>
      <c r="BL29" s="112"/>
      <c r="BM29" s="112"/>
      <c r="BN29" s="112"/>
      <c r="BO29" s="112"/>
    </row>
    <row r="30" spans="1:100" x14ac:dyDescent="0.25">
      <c r="B30">
        <f t="shared" si="29"/>
        <v>26</v>
      </c>
      <c r="C30" s="89">
        <v>2018</v>
      </c>
      <c r="D30" s="69">
        <v>796</v>
      </c>
      <c r="E30" s="69">
        <v>609</v>
      </c>
      <c r="F30" s="69">
        <v>926</v>
      </c>
      <c r="I30" s="89">
        <v>2018</v>
      </c>
      <c r="J30" s="69">
        <v>127</v>
      </c>
      <c r="K30" s="69">
        <v>97</v>
      </c>
      <c r="L30" s="69">
        <v>148</v>
      </c>
      <c r="T30" s="69" t="s">
        <v>117</v>
      </c>
      <c r="U30">
        <v>0</v>
      </c>
      <c r="W30" s="85" t="s">
        <v>491</v>
      </c>
      <c r="Y30" t="str">
        <f t="shared" ref="Y30:AL30" ca="1" si="142">Y4</f>
        <v>Senegal</v>
      </c>
      <c r="Z30" t="str">
        <f t="shared" ca="1" si="142"/>
        <v>Gambia</v>
      </c>
      <c r="AA30" t="str">
        <f t="shared" ca="1" si="142"/>
        <v>Guinée Bissau</v>
      </c>
      <c r="AB30" t="str">
        <f t="shared" ca="1" si="142"/>
        <v>Guinea</v>
      </c>
      <c r="AC30" t="str">
        <f t="shared" ca="1" si="142"/>
        <v>Sierra Leone</v>
      </c>
      <c r="AD30" t="str">
        <f t="shared" ca="1" si="142"/>
        <v>Liberia</v>
      </c>
      <c r="AE30" t="str">
        <f t="shared" ca="1" si="142"/>
        <v>Mali</v>
      </c>
      <c r="AF30" t="str">
        <f t="shared" ca="1" si="142"/>
        <v>Ivory Coast</v>
      </c>
      <c r="AG30" t="str">
        <f t="shared" ca="1" si="142"/>
        <v>Ghana</v>
      </c>
      <c r="AH30" t="str">
        <f t="shared" ca="1" si="142"/>
        <v>Togo/Benin</v>
      </c>
      <c r="AI30" t="str">
        <f t="shared" ca="1" si="142"/>
        <v>Burkina</v>
      </c>
      <c r="AJ30" t="str">
        <f t="shared" ca="1" si="142"/>
        <v>Niger</v>
      </c>
      <c r="AK30" t="str">
        <f t="shared" ca="1" si="142"/>
        <v>Nigeria</v>
      </c>
      <c r="AL30" t="str">
        <f t="shared" si="142"/>
        <v>Sum</v>
      </c>
      <c r="AM30" t="s">
        <v>486</v>
      </c>
    </row>
    <row r="31" spans="1:100" x14ac:dyDescent="0.25">
      <c r="B31">
        <f t="shared" si="29"/>
        <v>27</v>
      </c>
      <c r="C31" s="89">
        <v>2019</v>
      </c>
      <c r="D31" s="69">
        <v>821</v>
      </c>
      <c r="E31" s="69">
        <v>658</v>
      </c>
      <c r="F31" s="69">
        <v>963</v>
      </c>
      <c r="I31" s="89">
        <v>2019</v>
      </c>
      <c r="J31" s="69">
        <v>131</v>
      </c>
      <c r="K31" s="69">
        <v>105</v>
      </c>
      <c r="L31" s="69">
        <v>154</v>
      </c>
      <c r="T31" s="69" t="s">
        <v>118</v>
      </c>
      <c r="U31">
        <v>0</v>
      </c>
      <c r="X31" s="85">
        <v>2010</v>
      </c>
      <c r="Y31" s="84">
        <f t="shared" ref="Y31:AK31" ca="1" si="143">Y6/1000</f>
        <v>2.6539999999999999</v>
      </c>
      <c r="Z31" s="84">
        <f t="shared" ca="1" si="143"/>
        <v>0.23899999999999999</v>
      </c>
      <c r="AA31" s="84">
        <f t="shared" ca="1" si="143"/>
        <v>0.14099999999999999</v>
      </c>
      <c r="AB31" s="84">
        <f t="shared" ca="1" si="143"/>
        <v>0.60799999999999998</v>
      </c>
      <c r="AC31" s="84">
        <f t="shared" ca="1" si="143"/>
        <v>0.20200000000000001</v>
      </c>
      <c r="AD31" s="84">
        <f t="shared" ca="1" si="143"/>
        <v>4.7E-2</v>
      </c>
      <c r="AE31" s="84">
        <f t="shared" ca="1" si="143"/>
        <v>1.1359999999999999</v>
      </c>
      <c r="AF31" s="84">
        <f t="shared" ca="1" si="143"/>
        <v>6.0049999999999999</v>
      </c>
      <c r="AG31" s="84">
        <f t="shared" ca="1" si="143"/>
        <v>9.7929999999999993</v>
      </c>
      <c r="AH31" s="84">
        <f t="shared" ca="1" si="143"/>
        <v>2.383</v>
      </c>
      <c r="AI31" s="84">
        <f t="shared" ca="1" si="143"/>
        <v>0.873</v>
      </c>
      <c r="AJ31" s="84">
        <f t="shared" ca="1" si="143"/>
        <v>0.84899999999999998</v>
      </c>
      <c r="AK31" s="84">
        <f t="shared" ca="1" si="143"/>
        <v>39.101999999999997</v>
      </c>
      <c r="AL31" s="105">
        <f ca="1">SUM(Y31:AK31)</f>
        <v>64.031999999999996</v>
      </c>
      <c r="AM31" s="20">
        <v>303381.46299999999</v>
      </c>
      <c r="AO31" t="str">
        <f t="shared" ref="AO31:BA31" ca="1" si="144">AO4</f>
        <v>Senegal</v>
      </c>
      <c r="AP31" t="str">
        <f t="shared" ca="1" si="144"/>
        <v>Gambia</v>
      </c>
      <c r="AQ31" t="str">
        <f t="shared" ca="1" si="144"/>
        <v>Guinée Bissau</v>
      </c>
      <c r="AR31" t="str">
        <f t="shared" ca="1" si="144"/>
        <v>Guinea</v>
      </c>
      <c r="AS31" t="str">
        <f t="shared" ca="1" si="144"/>
        <v>Sierra Leone</v>
      </c>
      <c r="AT31" t="str">
        <f t="shared" ca="1" si="144"/>
        <v>Liberia</v>
      </c>
      <c r="AU31" t="str">
        <f t="shared" ca="1" si="144"/>
        <v>Mali</v>
      </c>
      <c r="AV31" t="str">
        <f t="shared" ca="1" si="144"/>
        <v>Ivory Coast</v>
      </c>
      <c r="AW31" t="str">
        <f t="shared" ca="1" si="144"/>
        <v>Ghana</v>
      </c>
      <c r="AX31" t="str">
        <f t="shared" ca="1" si="144"/>
        <v>Togo/Benin</v>
      </c>
      <c r="AY31" t="str">
        <f t="shared" ca="1" si="144"/>
        <v>Burkina</v>
      </c>
      <c r="AZ31" t="str">
        <f t="shared" ca="1" si="144"/>
        <v>Niger</v>
      </c>
      <c r="BA31" t="str">
        <f t="shared" ca="1" si="144"/>
        <v>Nigeria</v>
      </c>
    </row>
    <row r="32" spans="1:100" x14ac:dyDescent="0.25">
      <c r="B32">
        <f t="shared" si="29"/>
        <v>28</v>
      </c>
      <c r="C32" s="89">
        <v>2020</v>
      </c>
      <c r="D32" s="69">
        <v>847</v>
      </c>
      <c r="E32" s="69">
        <v>703</v>
      </c>
      <c r="F32" s="69">
        <v>1001</v>
      </c>
      <c r="I32" s="89">
        <v>2020</v>
      </c>
      <c r="J32" s="69">
        <v>135</v>
      </c>
      <c r="K32" s="69">
        <v>112</v>
      </c>
      <c r="L32" s="69">
        <v>160</v>
      </c>
      <c r="T32" s="69" t="s">
        <v>119</v>
      </c>
      <c r="U32">
        <v>0</v>
      </c>
      <c r="X32" s="85">
        <f>X15</f>
        <v>2020</v>
      </c>
      <c r="Y32" s="84">
        <f t="shared" ref="Y32:AK32" ca="1" si="145">Y15/1000</f>
        <v>5.306</v>
      </c>
      <c r="Z32" s="84">
        <f t="shared" ca="1" si="145"/>
        <v>0.84699999999999998</v>
      </c>
      <c r="AA32" s="84">
        <f t="shared" ca="1" si="145"/>
        <v>0.38500000000000001</v>
      </c>
      <c r="AB32" s="84">
        <f t="shared" ca="1" si="145"/>
        <v>1.9370000000000001</v>
      </c>
      <c r="AC32" s="84">
        <f t="shared" ca="1" si="145"/>
        <v>0.90700000000000003</v>
      </c>
      <c r="AD32" s="84">
        <f t="shared" ca="1" si="145"/>
        <v>0.35499999999999998</v>
      </c>
      <c r="AE32" s="84">
        <f t="shared" ca="1" si="145"/>
        <v>3.3980000000000001</v>
      </c>
      <c r="AF32" s="84">
        <f t="shared" ca="1" si="145"/>
        <v>10.244</v>
      </c>
      <c r="AG32" s="84">
        <f t="shared" ca="1" si="145"/>
        <v>16.856999999999999</v>
      </c>
      <c r="AH32" s="84">
        <f t="shared" ca="1" si="145"/>
        <v>5.1849999999999996</v>
      </c>
      <c r="AI32" s="84">
        <f t="shared" ca="1" si="145"/>
        <v>1.694</v>
      </c>
      <c r="AJ32" s="84">
        <f t="shared" ca="1" si="145"/>
        <v>1.609</v>
      </c>
      <c r="AK32" s="84">
        <f t="shared" ca="1" si="145"/>
        <v>91.873000000000005</v>
      </c>
      <c r="AL32" s="105">
        <f t="shared" ref="AL32:AL35" ca="1" si="146">SUM(Y32:AK32)</f>
        <v>140.59700000000001</v>
      </c>
      <c r="AM32" s="20">
        <v>379966.17200000002</v>
      </c>
      <c r="AN32" t="str">
        <f>2012&amp;"-"&amp;X32</f>
        <v>2012-2020</v>
      </c>
      <c r="AO32" s="111">
        <f t="shared" ref="AO32:BA32" ca="1" si="147">AVERAGE(AO8:AO14)</f>
        <v>7.7678821188420219E-2</v>
      </c>
      <c r="AP32" s="111">
        <f t="shared" ca="1" si="147"/>
        <v>0.13981584152915413</v>
      </c>
      <c r="AQ32" s="111">
        <f t="shared" ca="1" si="147"/>
        <v>0.1238957583825858</v>
      </c>
      <c r="AR32" s="111">
        <f t="shared" ca="1" si="147"/>
        <v>0.14500777131493506</v>
      </c>
      <c r="AS32" s="111">
        <f t="shared" ca="1" si="147"/>
        <v>0.18935796124515611</v>
      </c>
      <c r="AT32" s="111">
        <f t="shared" ca="1" si="147"/>
        <v>0.192696330556337</v>
      </c>
      <c r="AU32" s="111">
        <f t="shared" ca="1" si="147"/>
        <v>0.16025318251558876</v>
      </c>
      <c r="AV32" s="111">
        <f t="shared" ca="1" si="147"/>
        <v>6.1494463350347174E-2</v>
      </c>
      <c r="AW32" s="111">
        <f t="shared" ca="1" si="147"/>
        <v>6.1919778622279632E-2</v>
      </c>
      <c r="AX32" s="111">
        <f t="shared" ca="1" si="147"/>
        <v>8.2810210691389843E-2</v>
      </c>
      <c r="AY32" s="111">
        <f t="shared" ca="1" si="147"/>
        <v>7.7603592264051002E-2</v>
      </c>
      <c r="AZ32" s="111">
        <f t="shared" ca="1" si="147"/>
        <v>7.754885439768848E-2</v>
      </c>
      <c r="BA32" s="111">
        <f t="shared" ca="1" si="147"/>
        <v>5.8961738944986512E-2</v>
      </c>
    </row>
    <row r="33" spans="1:84" x14ac:dyDescent="0.25">
      <c r="B33">
        <f t="shared" si="29"/>
        <v>29</v>
      </c>
      <c r="C33" s="89">
        <v>2021</v>
      </c>
      <c r="D33" s="69">
        <v>879</v>
      </c>
      <c r="E33" s="69">
        <v>722</v>
      </c>
      <c r="F33" s="69">
        <v>1048</v>
      </c>
      <c r="I33" s="89">
        <v>2021</v>
      </c>
      <c r="J33" s="69">
        <v>141</v>
      </c>
      <c r="K33" s="69">
        <v>115</v>
      </c>
      <c r="L33" s="69">
        <v>168</v>
      </c>
      <c r="T33" s="69" t="s">
        <v>120</v>
      </c>
      <c r="U33">
        <v>0</v>
      </c>
      <c r="X33" s="85">
        <f>X25</f>
        <v>2030</v>
      </c>
      <c r="Y33" s="84">
        <f t="shared" ref="Y33:AK33" ca="1" si="148">Y25/1000</f>
        <v>8.9978996347244706</v>
      </c>
      <c r="Z33" s="84">
        <f t="shared" ca="1" si="148"/>
        <v>1.2188313040604082</v>
      </c>
      <c r="AA33" s="84">
        <f t="shared" ca="1" si="148"/>
        <v>0.701970224446538</v>
      </c>
      <c r="AB33" s="84">
        <f t="shared" ca="1" si="148"/>
        <v>2.6259874272552892</v>
      </c>
      <c r="AC33" s="84">
        <f t="shared" ca="1" si="148"/>
        <v>1.3626461269279118</v>
      </c>
      <c r="AD33" s="84">
        <f t="shared" ca="1" si="148"/>
        <v>0.65079671093156033</v>
      </c>
      <c r="AE33" s="84">
        <f t="shared" ca="1" si="148"/>
        <v>5.1928502600433522</v>
      </c>
      <c r="AF33" s="84">
        <f t="shared" ca="1" si="148"/>
        <v>16.798236128311054</v>
      </c>
      <c r="AG33" s="84">
        <f t="shared" ca="1" si="148"/>
        <v>31.014058998366515</v>
      </c>
      <c r="AH33" s="84">
        <f t="shared" ca="1" si="148"/>
        <v>9.9174339429110354</v>
      </c>
      <c r="AI33" s="84">
        <f t="shared" ca="1" si="148"/>
        <v>3.3566758879355203</v>
      </c>
      <c r="AJ33" s="84">
        <f t="shared" ca="1" si="148"/>
        <v>2.4965611450802547</v>
      </c>
      <c r="AK33" s="84">
        <f t="shared" ca="1" si="148"/>
        <v>152.23237173580938</v>
      </c>
      <c r="AL33" s="105">
        <f t="shared" ca="1" si="146"/>
        <v>236.56631952680328</v>
      </c>
      <c r="AM33" s="20">
        <v>459404.152</v>
      </c>
      <c r="AN33" t="str">
        <f t="shared" ref="AN33" si="149">X32+1&amp;"-"&amp;X33</f>
        <v>2021-2030</v>
      </c>
      <c r="AO33" s="111">
        <f t="shared" ref="AO33:BA33" ca="1" si="150">AVERAGE(AO15:AO20,AO25,AO25,AO25,AO25,AO25)</f>
        <v>5.4371859527985483E-2</v>
      </c>
      <c r="AP33" s="111">
        <f t="shared" ca="1" si="150"/>
        <v>3.6574612688829236E-2</v>
      </c>
      <c r="AQ33" s="111">
        <f t="shared" ca="1" si="150"/>
        <v>7.1105591508844226E-2</v>
      </c>
      <c r="AR33" s="111">
        <f t="shared" ca="1" si="150"/>
        <v>3.1116384695044085E-2</v>
      </c>
      <c r="AS33" s="111">
        <f t="shared" ca="1" si="150"/>
        <v>4.1884674344005619E-2</v>
      </c>
      <c r="AT33" s="111">
        <f t="shared" ca="1" si="150"/>
        <v>6.2518945196906026E-2</v>
      </c>
      <c r="AU33" s="111">
        <f t="shared" ca="1" si="150"/>
        <v>4.3589310680473628E-2</v>
      </c>
      <c r="AV33" s="111">
        <f t="shared" ca="1" si="150"/>
        <v>5.1164394885469221E-2</v>
      </c>
      <c r="AW33" s="111">
        <f t="shared" ca="1" si="150"/>
        <v>6.2809411738556684E-2</v>
      </c>
      <c r="AX33" s="111">
        <f t="shared" ca="1" si="150"/>
        <v>6.7762339341363054E-2</v>
      </c>
      <c r="AY33" s="111">
        <f t="shared" ca="1" si="150"/>
        <v>7.1152668294438948E-2</v>
      </c>
      <c r="AZ33" s="111">
        <f t="shared" ca="1" si="150"/>
        <v>4.5526777593506977E-2</v>
      </c>
      <c r="BA33" s="111">
        <f t="shared" ca="1" si="150"/>
        <v>5.2550102712479223E-2</v>
      </c>
    </row>
    <row r="34" spans="1:84" x14ac:dyDescent="0.25">
      <c r="B34">
        <f t="shared" si="29"/>
        <v>30</v>
      </c>
      <c r="C34" s="89">
        <v>2022</v>
      </c>
      <c r="D34" s="69">
        <v>912</v>
      </c>
      <c r="E34" s="69">
        <v>742</v>
      </c>
      <c r="F34" s="69">
        <v>1097</v>
      </c>
      <c r="I34" s="89">
        <v>2022</v>
      </c>
      <c r="J34" s="69">
        <v>146</v>
      </c>
      <c r="K34" s="69">
        <v>119</v>
      </c>
      <c r="L34" s="69">
        <v>175</v>
      </c>
      <c r="T34" s="69" t="s">
        <v>121</v>
      </c>
      <c r="U34">
        <v>0</v>
      </c>
      <c r="X34" s="85">
        <f t="shared" ref="X34:X35" si="151">X27</f>
        <v>2040</v>
      </c>
      <c r="Y34" s="84">
        <f ca="1">Y27/1000</f>
        <v>14.939613075592211</v>
      </c>
      <c r="Z34" s="84">
        <f t="shared" ref="Z34:AK34" ca="1" si="152">Z27/1000</f>
        <v>1.7506079406297472</v>
      </c>
      <c r="AA34" s="84">
        <f t="shared" ca="1" si="152"/>
        <v>1.1237041748604579</v>
      </c>
      <c r="AB34" s="84">
        <f t="shared" ca="1" si="152"/>
        <v>3.399431687570734</v>
      </c>
      <c r="AC34" s="84">
        <f t="shared" ca="1" si="152"/>
        <v>1.8900902445193901</v>
      </c>
      <c r="AD34" s="84">
        <f t="shared" ca="1" si="152"/>
        <v>1.1766446510256521</v>
      </c>
      <c r="AE34" s="84">
        <f t="shared" ca="1" si="152"/>
        <v>7.6370225460816572</v>
      </c>
      <c r="AF34" s="84">
        <f t="shared" ca="1" si="152"/>
        <v>26.861688673593157</v>
      </c>
      <c r="AG34" s="84">
        <f t="shared" ca="1" si="152"/>
        <v>57.225278454944544</v>
      </c>
      <c r="AH34" s="84">
        <f t="shared" ca="1" si="152"/>
        <v>18.234255561464536</v>
      </c>
      <c r="AI34" s="84">
        <f t="shared" ca="1" si="152"/>
        <v>6.5225176284215767</v>
      </c>
      <c r="AJ34" s="84">
        <f t="shared" ca="1" si="152"/>
        <v>3.7427616414953824</v>
      </c>
      <c r="AK34" s="84">
        <f t="shared" ca="1" si="152"/>
        <v>227.99701287633002</v>
      </c>
      <c r="AL34" s="105">
        <f t="shared" ca="1" si="146"/>
        <v>372.50062915652904</v>
      </c>
      <c r="AM34" s="20">
        <v>541753.37300000002</v>
      </c>
      <c r="AN34" t="str">
        <f>X33+1&amp;"-"&amp;X35</f>
        <v>2031-2050</v>
      </c>
      <c r="AO34" s="111">
        <f ca="1">AVERAGE(AO27:AO28)</f>
        <v>5.2009884793987382E-2</v>
      </c>
      <c r="AP34" s="111">
        <f t="shared" ref="AP34:BA34" ca="1" si="153">AVERAGE(AP27:AP28)</f>
        <v>3.6870525945763843E-2</v>
      </c>
      <c r="AQ34" s="111">
        <f t="shared" ca="1" si="153"/>
        <v>4.6298720494214129E-2</v>
      </c>
      <c r="AR34" s="111">
        <f t="shared" ca="1" si="153"/>
        <v>2.6151224190554601E-2</v>
      </c>
      <c r="AS34" s="111">
        <f t="shared" ca="1" si="153"/>
        <v>3.3260781124338834E-2</v>
      </c>
      <c r="AT34" s="111">
        <f t="shared" ca="1" si="153"/>
        <v>6.1011271396262279E-2</v>
      </c>
      <c r="AU34" s="111">
        <f t="shared" ca="1" si="153"/>
        <v>3.9326084939804939E-2</v>
      </c>
      <c r="AV34" s="111">
        <f t="shared" ca="1" si="153"/>
        <v>4.8061971230432654E-2</v>
      </c>
      <c r="AW34" s="111">
        <f t="shared" ca="1" si="153"/>
        <v>6.3170531680205089E-2</v>
      </c>
      <c r="AX34" s="111">
        <f t="shared" ca="1" si="153"/>
        <v>6.2793457100255967E-2</v>
      </c>
      <c r="AY34" s="111">
        <f t="shared" ca="1" si="153"/>
        <v>6.8687144689089097E-2</v>
      </c>
      <c r="AZ34" s="111">
        <f t="shared" ca="1" si="153"/>
        <v>4.1321885985801998E-2</v>
      </c>
      <c r="BA34" s="111">
        <f t="shared" ca="1" si="153"/>
        <v>4.1219311436925032E-2</v>
      </c>
    </row>
    <row r="35" spans="1:84" x14ac:dyDescent="0.25">
      <c r="B35">
        <f t="shared" si="29"/>
        <v>31</v>
      </c>
      <c r="C35" s="89">
        <v>2023</v>
      </c>
      <c r="D35" s="69">
        <v>945</v>
      </c>
      <c r="E35" s="69">
        <v>763</v>
      </c>
      <c r="F35" s="69">
        <v>1147</v>
      </c>
      <c r="I35" s="89">
        <v>2023</v>
      </c>
      <c r="J35" s="69">
        <v>151</v>
      </c>
      <c r="K35" s="69">
        <v>122</v>
      </c>
      <c r="L35" s="69">
        <v>183</v>
      </c>
      <c r="T35" s="69" t="s">
        <v>122</v>
      </c>
      <c r="U35">
        <v>0</v>
      </c>
      <c r="X35" s="85">
        <f t="shared" si="151"/>
        <v>2050</v>
      </c>
      <c r="Y35" s="84">
        <f ca="1">Y28/1000</f>
        <v>24.804904245327279</v>
      </c>
      <c r="Z35" s="84">
        <f t="shared" ref="Z35:AK35" ca="1" si="154">Z28/1000</f>
        <v>2.5143989587291027</v>
      </c>
      <c r="AA35" s="84">
        <f t="shared" ca="1" si="154"/>
        <v>1.7354760568896426</v>
      </c>
      <c r="AB35" s="84">
        <f t="shared" ca="1" si="154"/>
        <v>4.4006820743001835</v>
      </c>
      <c r="AC35" s="84">
        <f t="shared" ca="1" si="154"/>
        <v>2.6216939686912277</v>
      </c>
      <c r="AD35" s="84">
        <f t="shared" ca="1" si="154"/>
        <v>2.1273811184532492</v>
      </c>
      <c r="AE35" s="84">
        <f t="shared" ca="1" si="154"/>
        <v>11.231618561801673</v>
      </c>
      <c r="AF35" s="84">
        <f t="shared" ca="1" si="154"/>
        <v>42.953933549068985</v>
      </c>
      <c r="AG35" s="84">
        <f t="shared" ca="1" si="154"/>
        <v>105.58864592404423</v>
      </c>
      <c r="AH35" s="84">
        <f t="shared" ca="1" si="154"/>
        <v>33.525615375382685</v>
      </c>
      <c r="AI35" s="84">
        <f t="shared" ca="1" si="154"/>
        <v>12.67421628819692</v>
      </c>
      <c r="AJ35" s="84">
        <f t="shared" ca="1" si="154"/>
        <v>5.6110240811261596</v>
      </c>
      <c r="AK35" s="84">
        <f t="shared" ca="1" si="154"/>
        <v>341.46901403298324</v>
      </c>
      <c r="AL35" s="105">
        <f t="shared" ca="1" si="146"/>
        <v>591.25860423499455</v>
      </c>
      <c r="AM35" s="20">
        <v>620980.58699999994</v>
      </c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</row>
    <row r="36" spans="1:84" x14ac:dyDescent="0.25">
      <c r="B36">
        <f t="shared" si="29"/>
        <v>32</v>
      </c>
      <c r="C36" s="89">
        <v>2024</v>
      </c>
      <c r="D36" s="69">
        <v>980</v>
      </c>
      <c r="E36" s="69">
        <v>784</v>
      </c>
      <c r="F36" s="69">
        <v>1201</v>
      </c>
      <c r="I36" s="89">
        <v>2024</v>
      </c>
      <c r="J36" s="69">
        <v>157</v>
      </c>
      <c r="K36" s="69">
        <v>125</v>
      </c>
      <c r="L36" s="69">
        <v>192</v>
      </c>
      <c r="T36" s="69" t="s">
        <v>123</v>
      </c>
      <c r="U36">
        <v>0</v>
      </c>
      <c r="AM36" s="20"/>
    </row>
    <row r="37" spans="1:84" x14ac:dyDescent="0.25">
      <c r="B37">
        <f t="shared" si="29"/>
        <v>33</v>
      </c>
      <c r="C37" s="89">
        <v>2025</v>
      </c>
      <c r="D37" s="69">
        <v>1017</v>
      </c>
      <c r="E37" s="69">
        <v>806</v>
      </c>
      <c r="F37" s="69">
        <v>1256</v>
      </c>
      <c r="I37" s="89">
        <v>2025</v>
      </c>
      <c r="J37" s="69">
        <v>163</v>
      </c>
      <c r="K37" s="69">
        <v>129</v>
      </c>
      <c r="L37" s="69">
        <v>201</v>
      </c>
      <c r="T37" s="69" t="s">
        <v>124</v>
      </c>
      <c r="U37">
        <v>0</v>
      </c>
      <c r="W37" t="s">
        <v>504</v>
      </c>
      <c r="Y37">
        <f ca="1">RANK(Y31,$Y$31:$AK$31,1)</f>
        <v>10</v>
      </c>
      <c r="Z37">
        <f ca="1">RANK(Z31,$Y$31:$AK$31,1)</f>
        <v>4</v>
      </c>
      <c r="AA37">
        <f t="shared" ref="AA37:AK37" ca="1" si="155">RANK(AA31,$Y$31:$AK$31,1)</f>
        <v>2</v>
      </c>
      <c r="AB37">
        <f t="shared" ca="1" si="155"/>
        <v>5</v>
      </c>
      <c r="AC37">
        <f t="shared" ca="1" si="155"/>
        <v>3</v>
      </c>
      <c r="AD37">
        <f t="shared" ca="1" si="155"/>
        <v>1</v>
      </c>
      <c r="AE37">
        <f t="shared" ca="1" si="155"/>
        <v>8</v>
      </c>
      <c r="AF37">
        <f t="shared" ca="1" si="155"/>
        <v>11</v>
      </c>
      <c r="AG37">
        <f t="shared" ca="1" si="155"/>
        <v>12</v>
      </c>
      <c r="AH37">
        <f t="shared" ca="1" si="155"/>
        <v>9</v>
      </c>
      <c r="AI37">
        <f t="shared" ca="1" si="155"/>
        <v>7</v>
      </c>
      <c r="AJ37">
        <f t="shared" ca="1" si="155"/>
        <v>6</v>
      </c>
      <c r="AK37">
        <f t="shared" ca="1" si="155"/>
        <v>13</v>
      </c>
      <c r="AM37" s="20">
        <f ca="1">AL35/AM35*1000000</f>
        <v>952.13701782757119</v>
      </c>
    </row>
    <row r="38" spans="1:84" x14ac:dyDescent="0.25">
      <c r="B38">
        <f t="shared" si="29"/>
        <v>34</v>
      </c>
      <c r="X38">
        <f>X31</f>
        <v>2010</v>
      </c>
      <c r="Y38">
        <v>1</v>
      </c>
      <c r="Z38">
        <f>Y38+1</f>
        <v>2</v>
      </c>
      <c r="AA38">
        <f t="shared" ref="AA38:AK38" si="156">Z38+1</f>
        <v>3</v>
      </c>
      <c r="AB38">
        <f t="shared" si="156"/>
        <v>4</v>
      </c>
      <c r="AC38">
        <f t="shared" si="156"/>
        <v>5</v>
      </c>
      <c r="AD38">
        <f t="shared" si="156"/>
        <v>6</v>
      </c>
      <c r="AE38">
        <f t="shared" si="156"/>
        <v>7</v>
      </c>
      <c r="AF38">
        <f t="shared" si="156"/>
        <v>8</v>
      </c>
      <c r="AG38">
        <f t="shared" si="156"/>
        <v>9</v>
      </c>
      <c r="AH38">
        <f t="shared" si="156"/>
        <v>10</v>
      </c>
      <c r="AI38">
        <f t="shared" si="156"/>
        <v>11</v>
      </c>
      <c r="AJ38">
        <f t="shared" si="156"/>
        <v>12</v>
      </c>
      <c r="AK38">
        <f t="shared" si="156"/>
        <v>13</v>
      </c>
    </row>
    <row r="39" spans="1:84" ht="45" x14ac:dyDescent="0.25">
      <c r="B39">
        <f t="shared" si="29"/>
        <v>35</v>
      </c>
      <c r="C39" s="75" t="s">
        <v>105</v>
      </c>
      <c r="D39" s="109" t="s">
        <v>493</v>
      </c>
      <c r="E39" s="109" t="s">
        <v>494</v>
      </c>
      <c r="F39" s="76" t="s">
        <v>152</v>
      </c>
      <c r="G39" s="110" t="s">
        <v>495</v>
      </c>
      <c r="H39" s="110" t="s">
        <v>496</v>
      </c>
      <c r="I39" s="75" t="s">
        <v>105</v>
      </c>
      <c r="J39" s="76" t="s">
        <v>150</v>
      </c>
      <c r="K39" s="76" t="s">
        <v>151</v>
      </c>
      <c r="L39" s="76" t="s">
        <v>152</v>
      </c>
      <c r="N39" s="71" t="s">
        <v>148</v>
      </c>
      <c r="O39" s="71" t="s">
        <v>149</v>
      </c>
      <c r="P39" s="71" t="s">
        <v>160</v>
      </c>
      <c r="Q39" s="71" t="s">
        <v>156</v>
      </c>
      <c r="R39" s="71" t="s">
        <v>159</v>
      </c>
      <c r="T39" s="78" t="s">
        <v>154</v>
      </c>
      <c r="U39" s="71"/>
      <c r="Y39">
        <f ca="1">SUMIF($Y$37:$AK$37,Y38,$Y$38:$AK$38)</f>
        <v>6</v>
      </c>
      <c r="Z39">
        <f t="shared" ref="Z39:AK39" ca="1" si="157">SUMIF($Y$37:$AK$37,Z38,$Y$38:$AK$38)</f>
        <v>3</v>
      </c>
      <c r="AA39">
        <f t="shared" ca="1" si="157"/>
        <v>5</v>
      </c>
      <c r="AB39">
        <f t="shared" ca="1" si="157"/>
        <v>2</v>
      </c>
      <c r="AC39">
        <f t="shared" ca="1" si="157"/>
        <v>4</v>
      </c>
      <c r="AD39">
        <f t="shared" ca="1" si="157"/>
        <v>12</v>
      </c>
      <c r="AE39">
        <f t="shared" ca="1" si="157"/>
        <v>11</v>
      </c>
      <c r="AF39">
        <f t="shared" ca="1" si="157"/>
        <v>7</v>
      </c>
      <c r="AG39">
        <f t="shared" ca="1" si="157"/>
        <v>10</v>
      </c>
      <c r="AH39">
        <f t="shared" ca="1" si="157"/>
        <v>1</v>
      </c>
      <c r="AI39">
        <f t="shared" ca="1" si="157"/>
        <v>8</v>
      </c>
      <c r="AJ39">
        <f t="shared" ca="1" si="157"/>
        <v>9</v>
      </c>
      <c r="AK39">
        <f t="shared" ca="1" si="157"/>
        <v>13</v>
      </c>
      <c r="BT39" t="str">
        <f ca="1">BT4</f>
        <v>Senegal</v>
      </c>
      <c r="BU39" t="str">
        <f t="shared" ref="BU39:CF39" ca="1" si="158">BU4</f>
        <v>Gambia</v>
      </c>
      <c r="BV39" t="str">
        <f t="shared" ca="1" si="158"/>
        <v>Guinée Bissau</v>
      </c>
      <c r="BW39" t="str">
        <f t="shared" ca="1" si="158"/>
        <v>Guinea</v>
      </c>
      <c r="BX39" t="str">
        <f t="shared" ca="1" si="158"/>
        <v>Sierra Leone</v>
      </c>
      <c r="BY39" t="str">
        <f t="shared" ca="1" si="158"/>
        <v>Liberia</v>
      </c>
      <c r="BZ39" t="str">
        <f t="shared" ca="1" si="158"/>
        <v>Mali</v>
      </c>
      <c r="CA39" t="str">
        <f t="shared" ca="1" si="158"/>
        <v>Ivory Coast</v>
      </c>
      <c r="CB39" t="str">
        <f t="shared" ca="1" si="158"/>
        <v>Ghana</v>
      </c>
      <c r="CC39" t="str">
        <f t="shared" ca="1" si="158"/>
        <v>Togo/Benin</v>
      </c>
      <c r="CD39" t="str">
        <f t="shared" ca="1" si="158"/>
        <v>Burkina</v>
      </c>
      <c r="CE39" t="str">
        <f t="shared" ca="1" si="158"/>
        <v>Niger</v>
      </c>
      <c r="CF39" t="str">
        <f t="shared" ca="1" si="158"/>
        <v>Nigeria</v>
      </c>
    </row>
    <row r="40" spans="1:84" x14ac:dyDescent="0.25">
      <c r="A40" s="70" t="s">
        <v>166</v>
      </c>
      <c r="B40">
        <f t="shared" si="29"/>
        <v>36</v>
      </c>
      <c r="C40" s="68" t="s">
        <v>105</v>
      </c>
      <c r="D40" s="69" t="s">
        <v>109</v>
      </c>
      <c r="E40" s="69" t="s">
        <v>109</v>
      </c>
      <c r="F40" s="69" t="s">
        <v>109</v>
      </c>
      <c r="G40" s="69" t="s">
        <v>109</v>
      </c>
      <c r="H40" s="69" t="s">
        <v>109</v>
      </c>
      <c r="I40" s="68" t="s">
        <v>105</v>
      </c>
      <c r="J40" s="69" t="s">
        <v>125</v>
      </c>
      <c r="K40" s="69" t="s">
        <v>125</v>
      </c>
      <c r="L40" s="69" t="s">
        <v>125</v>
      </c>
      <c r="N40" s="69" t="s">
        <v>109</v>
      </c>
      <c r="O40" s="69" t="s">
        <v>125</v>
      </c>
      <c r="P40" s="69" t="s">
        <v>11</v>
      </c>
      <c r="Q40" s="69" t="s">
        <v>157</v>
      </c>
      <c r="R40" s="69" t="s">
        <v>157</v>
      </c>
      <c r="T40" s="69"/>
      <c r="U40" s="69" t="s">
        <v>157</v>
      </c>
      <c r="BS40">
        <f>BS5</f>
        <v>2010</v>
      </c>
      <c r="BT40" s="87">
        <f ca="1">BT5/1000</f>
        <v>2.4940000000000002</v>
      </c>
      <c r="BU40" s="87">
        <f t="shared" ref="BU40:CF40" ca="1" si="159">BU5/1000</f>
        <v>0.219</v>
      </c>
      <c r="BV40" s="87">
        <f t="shared" ca="1" si="159"/>
        <v>0.14099999999999999</v>
      </c>
      <c r="BW40" s="87">
        <f t="shared" ca="1" si="159"/>
        <v>0.60799999999999998</v>
      </c>
      <c r="BX40" s="87">
        <f t="shared" si="159"/>
        <v>0.16200000000000001</v>
      </c>
      <c r="BY40" s="87">
        <f t="shared" ca="1" si="159"/>
        <v>3.4000000000000002E-2</v>
      </c>
      <c r="BZ40" s="87">
        <f t="shared" ca="1" si="159"/>
        <v>1.0980000000000001</v>
      </c>
      <c r="CA40" s="87">
        <f t="shared" ca="1" si="159"/>
        <v>5.8135000000000003</v>
      </c>
      <c r="CB40" s="87">
        <f t="shared" si="159"/>
        <v>9.0220000000000002</v>
      </c>
      <c r="CC40" s="87">
        <f t="shared" ca="1" si="159"/>
        <v>2.0830000000000002</v>
      </c>
      <c r="CD40" s="87">
        <f t="shared" ca="1" si="159"/>
        <v>0.85850000000000004</v>
      </c>
      <c r="CE40" s="87">
        <f t="shared" ca="1" si="159"/>
        <v>0.83499999999999996</v>
      </c>
      <c r="CF40" s="87">
        <f t="shared" ca="1" si="159"/>
        <v>23.1785</v>
      </c>
    </row>
    <row r="41" spans="1:84" x14ac:dyDescent="0.25">
      <c r="A41" t="s">
        <v>75</v>
      </c>
      <c r="B41">
        <f t="shared" si="29"/>
        <v>37</v>
      </c>
      <c r="C41" s="89">
        <v>2011</v>
      </c>
      <c r="D41" s="69">
        <v>141</v>
      </c>
      <c r="E41" s="69">
        <v>141</v>
      </c>
      <c r="F41" s="95">
        <f>E41*F23/E23</f>
        <v>185.42465753424656</v>
      </c>
      <c r="G41">
        <v>0</v>
      </c>
      <c r="H41">
        <v>0</v>
      </c>
      <c r="I41" s="86">
        <v>2011</v>
      </c>
      <c r="J41">
        <v>5.4</v>
      </c>
      <c r="K41">
        <v>5.5</v>
      </c>
      <c r="L41" t="s">
        <v>105</v>
      </c>
      <c r="M41" s="97">
        <f>N41/(O41*8.76)</f>
        <v>2.980720446473871</v>
      </c>
      <c r="N41">
        <f>E41</f>
        <v>141</v>
      </c>
      <c r="O41">
        <f>J41</f>
        <v>5.4</v>
      </c>
      <c r="P41" s="81">
        <v>0.57999999999999996</v>
      </c>
      <c r="Q41">
        <v>0</v>
      </c>
      <c r="R41">
        <v>0</v>
      </c>
      <c r="T41" s="69" t="s">
        <v>110</v>
      </c>
      <c r="U41">
        <v>0</v>
      </c>
      <c r="BS41">
        <f t="shared" ref="BS41:BS60" si="160">BS6</f>
        <v>2011</v>
      </c>
      <c r="BT41" s="87">
        <f t="shared" ref="BT41:CF41" ca="1" si="161">BT6/1000</f>
        <v>2.6539999999999999</v>
      </c>
      <c r="BU41" s="87">
        <f t="shared" ca="1" si="161"/>
        <v>0.23899999999999999</v>
      </c>
      <c r="BV41" s="87">
        <f t="shared" ca="1" si="161"/>
        <v>0.14099999999999999</v>
      </c>
      <c r="BW41" s="87">
        <f t="shared" ca="1" si="161"/>
        <v>0.60799999999999998</v>
      </c>
      <c r="BX41" s="87">
        <f t="shared" ca="1" si="161"/>
        <v>0.55200000000000005</v>
      </c>
      <c r="BY41" s="87">
        <f t="shared" ca="1" si="161"/>
        <v>4.7E-2</v>
      </c>
      <c r="BZ41" s="87">
        <f t="shared" ca="1" si="161"/>
        <v>1.1359999999999999</v>
      </c>
      <c r="CA41" s="87">
        <f t="shared" ca="1" si="161"/>
        <v>6.0049999999999999</v>
      </c>
      <c r="CB41" s="87">
        <f t="shared" ca="1" si="161"/>
        <v>11.106999999999999</v>
      </c>
      <c r="CC41" s="87">
        <f t="shared" ca="1" si="161"/>
        <v>2.383</v>
      </c>
      <c r="CD41" s="87">
        <f t="shared" ca="1" si="161"/>
        <v>0.873</v>
      </c>
      <c r="CE41" s="87">
        <f t="shared" ca="1" si="161"/>
        <v>0.84899999999999998</v>
      </c>
      <c r="CF41" s="87">
        <f t="shared" ca="1" si="161"/>
        <v>39.101999999999997</v>
      </c>
    </row>
    <row r="42" spans="1:84" x14ac:dyDescent="0.25">
      <c r="B42">
        <f t="shared" si="29"/>
        <v>38</v>
      </c>
      <c r="C42" s="89">
        <v>2012</v>
      </c>
      <c r="D42" s="69">
        <v>149</v>
      </c>
      <c r="E42" s="69">
        <v>147</v>
      </c>
      <c r="F42" s="95">
        <f t="shared" ref="F42:F55" si="162">E42*F24/E24</f>
        <v>227.08208955223881</v>
      </c>
      <c r="G42">
        <v>0</v>
      </c>
      <c r="H42">
        <v>0</v>
      </c>
      <c r="I42" s="86">
        <v>2012</v>
      </c>
      <c r="J42">
        <v>5.6</v>
      </c>
      <c r="K42">
        <v>5.7</v>
      </c>
      <c r="L42" t="s">
        <v>105</v>
      </c>
      <c r="P42" t="s">
        <v>488</v>
      </c>
      <c r="T42" s="69" t="s">
        <v>111</v>
      </c>
      <c r="U42">
        <v>0</v>
      </c>
      <c r="BS42">
        <f t="shared" si="160"/>
        <v>2012</v>
      </c>
      <c r="BT42" s="87">
        <f t="shared" ref="BT42:CF42" ca="1" si="163">BT7/1000</f>
        <v>2.9910000000000001</v>
      </c>
      <c r="BU42" s="87">
        <f t="shared" ca="1" si="163"/>
        <v>0.33700000000000002</v>
      </c>
      <c r="BV42" s="87">
        <f t="shared" ca="1" si="163"/>
        <v>0.14899999999999999</v>
      </c>
      <c r="BW42" s="87">
        <f t="shared" ca="1" si="163"/>
        <v>0.76</v>
      </c>
      <c r="BX42" s="87">
        <f t="shared" ca="1" si="163"/>
        <v>0.61699999999999999</v>
      </c>
      <c r="BY42" s="87">
        <f t="shared" ca="1" si="163"/>
        <v>0.13800000000000001</v>
      </c>
      <c r="BZ42" s="87">
        <f t="shared" ca="1" si="163"/>
        <v>1.232</v>
      </c>
      <c r="CA42" s="87">
        <f t="shared" ca="1" si="163"/>
        <v>6.39</v>
      </c>
      <c r="CB42" s="87">
        <f t="shared" ca="1" si="163"/>
        <v>11.734999999999999</v>
      </c>
      <c r="CC42" s="87">
        <f t="shared" ca="1" si="163"/>
        <v>2.7629999999999999</v>
      </c>
      <c r="CD42" s="87">
        <f t="shared" ca="1" si="163"/>
        <v>0.93400000000000005</v>
      </c>
      <c r="CE42" s="87">
        <f t="shared" ca="1" si="163"/>
        <v>0.91200000000000003</v>
      </c>
      <c r="CF42" s="87">
        <f t="shared" ca="1" si="163"/>
        <v>58.069000000000003</v>
      </c>
    </row>
    <row r="43" spans="1:84" x14ac:dyDescent="0.25">
      <c r="B43">
        <f t="shared" si="29"/>
        <v>39</v>
      </c>
      <c r="C43" s="89">
        <v>2013</v>
      </c>
      <c r="D43" s="69">
        <v>157</v>
      </c>
      <c r="E43" s="69">
        <v>153</v>
      </c>
      <c r="F43" s="95">
        <f t="shared" si="162"/>
        <v>243.73817034700315</v>
      </c>
      <c r="G43">
        <v>0</v>
      </c>
      <c r="H43">
        <v>0</v>
      </c>
      <c r="I43" s="86">
        <v>2013</v>
      </c>
      <c r="J43">
        <v>5.8</v>
      </c>
      <c r="K43">
        <v>5.9</v>
      </c>
      <c r="L43" t="s">
        <v>105</v>
      </c>
      <c r="P43" s="94">
        <f ca="1">INDIRECT(A41&amp;"!c10")</f>
        <v>0.15</v>
      </c>
      <c r="T43" s="69" t="s">
        <v>112</v>
      </c>
      <c r="U43">
        <v>0</v>
      </c>
      <c r="BS43">
        <f t="shared" si="160"/>
        <v>2013</v>
      </c>
      <c r="BT43" s="87">
        <f t="shared" ref="BT43:CF43" ca="1" si="164">BT8/1000</f>
        <v>3.1469999999999998</v>
      </c>
      <c r="BU43" s="87">
        <f t="shared" ca="1" si="164"/>
        <v>0.41399999999999998</v>
      </c>
      <c r="BV43" s="87">
        <f t="shared" ca="1" si="164"/>
        <v>0.157</v>
      </c>
      <c r="BW43" s="87">
        <f t="shared" ca="1" si="164"/>
        <v>0.93400000000000005</v>
      </c>
      <c r="BX43" s="87">
        <f t="shared" ca="1" si="164"/>
        <v>0.99399999999999999</v>
      </c>
      <c r="BY43" s="87">
        <f t="shared" ca="1" si="164"/>
        <v>0.29399999999999998</v>
      </c>
      <c r="BZ43" s="87">
        <f t="shared" ca="1" si="164"/>
        <v>1.3819999999999999</v>
      </c>
      <c r="CA43" s="87">
        <f t="shared" ca="1" si="164"/>
        <v>6.7990000000000004</v>
      </c>
      <c r="CB43" s="87">
        <f t="shared" ca="1" si="164"/>
        <v>13.064</v>
      </c>
      <c r="CC43" s="87">
        <f t="shared" ca="1" si="164"/>
        <v>3.004</v>
      </c>
      <c r="CD43" s="87">
        <f t="shared" ca="1" si="164"/>
        <v>1.006</v>
      </c>
      <c r="CE43" s="87">
        <f t="shared" ca="1" si="164"/>
        <v>0.97699999999999998</v>
      </c>
      <c r="CF43" s="87">
        <f t="shared" ca="1" si="164"/>
        <v>61.320999999999998</v>
      </c>
    </row>
    <row r="44" spans="1:84" x14ac:dyDescent="0.25">
      <c r="B44">
        <f t="shared" si="29"/>
        <v>40</v>
      </c>
      <c r="C44" s="89">
        <v>2014</v>
      </c>
      <c r="D44" s="69">
        <v>167</v>
      </c>
      <c r="E44" s="69">
        <v>160</v>
      </c>
      <c r="F44" s="95">
        <f t="shared" si="162"/>
        <v>247.27272727272728</v>
      </c>
      <c r="G44">
        <v>0</v>
      </c>
      <c r="H44">
        <v>0</v>
      </c>
      <c r="I44" s="86">
        <v>2014</v>
      </c>
      <c r="J44">
        <v>6</v>
      </c>
      <c r="K44">
        <v>6.2</v>
      </c>
      <c r="L44" t="s">
        <v>105</v>
      </c>
      <c r="T44" s="69" t="s">
        <v>113</v>
      </c>
      <c r="U44">
        <v>0</v>
      </c>
      <c r="BS44">
        <f t="shared" si="160"/>
        <v>2014</v>
      </c>
      <c r="BT44" s="87">
        <f t="shared" ref="BT44:CF44" ca="1" si="165">BT9/1000</f>
        <v>3.319</v>
      </c>
      <c r="BU44" s="87">
        <f t="shared" ca="1" si="165"/>
        <v>0.496</v>
      </c>
      <c r="BV44" s="87">
        <f t="shared" ca="1" si="165"/>
        <v>0.16700000000000001</v>
      </c>
      <c r="BW44" s="87">
        <f t="shared" ca="1" si="165"/>
        <v>1.1020000000000001</v>
      </c>
      <c r="BX44" s="87">
        <f t="shared" ca="1" si="165"/>
        <v>1.397</v>
      </c>
      <c r="BY44" s="87">
        <f t="shared" ca="1" si="165"/>
        <v>0.88300000000000001</v>
      </c>
      <c r="BZ44" s="87">
        <f t="shared" ca="1" si="165"/>
        <v>2.1110000000000002</v>
      </c>
      <c r="CA44" s="87">
        <f t="shared" ca="1" si="165"/>
        <v>7.2450000000000001</v>
      </c>
      <c r="CB44" s="87">
        <f t="shared" ca="1" si="165"/>
        <v>13.734999999999999</v>
      </c>
      <c r="CC44" s="87">
        <f t="shared" ca="1" si="165"/>
        <v>3.2679999999999998</v>
      </c>
      <c r="CD44" s="87">
        <f t="shared" ca="1" si="165"/>
        <v>1.087</v>
      </c>
      <c r="CE44" s="87">
        <f t="shared" ca="1" si="165"/>
        <v>1.044</v>
      </c>
      <c r="CF44" s="87">
        <f t="shared" ca="1" si="165"/>
        <v>64.963999999999999</v>
      </c>
    </row>
    <row r="45" spans="1:84" x14ac:dyDescent="0.25">
      <c r="B45">
        <f t="shared" si="29"/>
        <v>41</v>
      </c>
      <c r="C45" s="89">
        <v>2015</v>
      </c>
      <c r="D45" s="69">
        <v>176</v>
      </c>
      <c r="E45" s="69">
        <v>167</v>
      </c>
      <c r="F45" s="95">
        <f t="shared" si="162"/>
        <v>297.69565217391306</v>
      </c>
      <c r="G45">
        <v>0</v>
      </c>
      <c r="H45">
        <v>0</v>
      </c>
      <c r="I45" s="86">
        <v>2015</v>
      </c>
      <c r="J45">
        <v>6.2</v>
      </c>
      <c r="K45">
        <v>6.4</v>
      </c>
      <c r="L45" t="s">
        <v>105</v>
      </c>
      <c r="T45" s="69" t="s">
        <v>114</v>
      </c>
      <c r="U45">
        <v>0</v>
      </c>
      <c r="Y45" s="87" t="str">
        <f t="shared" ref="Y45:AK45" ca="1" si="166">OFFSET($X4,0,Y$39)</f>
        <v>Liberia</v>
      </c>
      <c r="Z45" s="87" t="str">
        <f t="shared" ca="1" si="166"/>
        <v>Guinée Bissau</v>
      </c>
      <c r="AA45" s="87" t="str">
        <f t="shared" ca="1" si="166"/>
        <v>Sierra Leone</v>
      </c>
      <c r="AB45" s="87" t="str">
        <f t="shared" ca="1" si="166"/>
        <v>Gambia</v>
      </c>
      <c r="AC45" s="87" t="str">
        <f t="shared" ca="1" si="166"/>
        <v>Guinea</v>
      </c>
      <c r="AD45" s="87" t="str">
        <f t="shared" ca="1" si="166"/>
        <v>Niger</v>
      </c>
      <c r="AE45" s="87" t="str">
        <f t="shared" ca="1" si="166"/>
        <v>Burkina</v>
      </c>
      <c r="AF45" s="87" t="str">
        <f t="shared" ca="1" si="166"/>
        <v>Mali</v>
      </c>
      <c r="AG45" s="87" t="str">
        <f t="shared" ca="1" si="166"/>
        <v>Togo/Benin</v>
      </c>
      <c r="AH45" s="87" t="str">
        <f t="shared" ca="1" si="166"/>
        <v>Senegal</v>
      </c>
      <c r="AI45" s="87" t="str">
        <f t="shared" ca="1" si="166"/>
        <v>Ivory Coast</v>
      </c>
      <c r="AJ45" s="87" t="str">
        <f t="shared" ca="1" si="166"/>
        <v>Ghana</v>
      </c>
      <c r="AK45" s="87" t="str">
        <f t="shared" ca="1" si="166"/>
        <v>Nigeria</v>
      </c>
      <c r="BS45">
        <f t="shared" si="160"/>
        <v>2015</v>
      </c>
      <c r="BT45" s="87">
        <f t="shared" ref="BT45:CF45" ca="1" si="167">BT10/1000</f>
        <v>3.7440000000000002</v>
      </c>
      <c r="BU45" s="87">
        <f t="shared" ca="1" si="167"/>
        <v>0.58599999999999997</v>
      </c>
      <c r="BV45" s="87">
        <f t="shared" ca="1" si="167"/>
        <v>0.17599999999999999</v>
      </c>
      <c r="BW45" s="87">
        <f t="shared" ca="1" si="167"/>
        <v>1.5629999999999999</v>
      </c>
      <c r="BX45" s="87">
        <f t="shared" ca="1" si="167"/>
        <v>1.498</v>
      </c>
      <c r="BY45" s="87">
        <f t="shared" ca="1" si="167"/>
        <v>1.446</v>
      </c>
      <c r="BZ45" s="87">
        <f t="shared" ca="1" si="167"/>
        <v>2.226</v>
      </c>
      <c r="CA45" s="87">
        <f t="shared" ca="1" si="167"/>
        <v>7.7309999999999999</v>
      </c>
      <c r="CB45" s="87">
        <f t="shared" ca="1" si="167"/>
        <v>14.455</v>
      </c>
      <c r="CC45" s="87">
        <f t="shared" ca="1" si="167"/>
        <v>3.5470000000000002</v>
      </c>
      <c r="CD45" s="87">
        <f t="shared" ca="1" si="167"/>
        <v>1.173</v>
      </c>
      <c r="CE45" s="87">
        <f t="shared" ca="1" si="167"/>
        <v>1.2350000000000001</v>
      </c>
      <c r="CF45" s="87">
        <f t="shared" ca="1" si="167"/>
        <v>68.83</v>
      </c>
    </row>
    <row r="46" spans="1:84" x14ac:dyDescent="0.25">
      <c r="B46">
        <f t="shared" si="29"/>
        <v>42</v>
      </c>
      <c r="C46" s="89">
        <v>2016</v>
      </c>
      <c r="D46" s="69">
        <v>187</v>
      </c>
      <c r="E46" s="69">
        <v>174</v>
      </c>
      <c r="F46" s="95">
        <f t="shared" si="162"/>
        <v>327.34945054945052</v>
      </c>
      <c r="G46">
        <v>351</v>
      </c>
      <c r="H46">
        <v>50</v>
      </c>
      <c r="I46" s="86">
        <v>2016</v>
      </c>
      <c r="J46">
        <v>6.4</v>
      </c>
      <c r="K46">
        <v>6.7</v>
      </c>
      <c r="L46" t="s">
        <v>105</v>
      </c>
      <c r="T46" s="69" t="s">
        <v>115</v>
      </c>
      <c r="U46">
        <v>0</v>
      </c>
      <c r="X46">
        <f>X31</f>
        <v>2010</v>
      </c>
      <c r="Y46" s="87">
        <f t="shared" ref="Y46:AK46" ca="1" si="168">OFFSET($X7,0,Y$39)/1000</f>
        <v>0.105</v>
      </c>
      <c r="Z46" s="87">
        <f t="shared" ca="1" si="168"/>
        <v>0.14899999999999999</v>
      </c>
      <c r="AA46" s="87">
        <f t="shared" ca="1" si="168"/>
        <v>0.26700000000000002</v>
      </c>
      <c r="AB46" s="87">
        <f t="shared" ca="1" si="168"/>
        <v>0.33700000000000002</v>
      </c>
      <c r="AC46" s="87">
        <f t="shared" ca="1" si="168"/>
        <v>0.76</v>
      </c>
      <c r="AD46" s="87">
        <f t="shared" ca="1" si="168"/>
        <v>0.91200000000000003</v>
      </c>
      <c r="AE46" s="87">
        <f t="shared" ca="1" si="168"/>
        <v>0.93400000000000005</v>
      </c>
      <c r="AF46" s="87">
        <f t="shared" ca="1" si="168"/>
        <v>1.232</v>
      </c>
      <c r="AG46" s="87">
        <f t="shared" ca="1" si="168"/>
        <v>2.7629999999999999</v>
      </c>
      <c r="AH46" s="87">
        <f t="shared" ca="1" si="168"/>
        <v>2.9910000000000001</v>
      </c>
      <c r="AI46" s="87">
        <f t="shared" ca="1" si="168"/>
        <v>6.39</v>
      </c>
      <c r="AJ46" s="87">
        <f t="shared" ca="1" si="168"/>
        <v>10.420999999999999</v>
      </c>
      <c r="AK46" s="87">
        <f t="shared" ca="1" si="168"/>
        <v>58.069000000000003</v>
      </c>
      <c r="BS46">
        <f t="shared" si="160"/>
        <v>2016</v>
      </c>
      <c r="BT46" s="87">
        <f t="shared" ref="BT46:CF46" ca="1" si="169">BT11/1000</f>
        <v>4.3109999999999999</v>
      </c>
      <c r="BU46" s="87">
        <f t="shared" ca="1" si="169"/>
        <v>0.747</v>
      </c>
      <c r="BV46" s="87">
        <f t="shared" ca="1" si="169"/>
        <v>0.53800000000000003</v>
      </c>
      <c r="BW46" s="87">
        <f t="shared" ca="1" si="169"/>
        <v>4.3609999999999998</v>
      </c>
      <c r="BX46" s="87">
        <f t="shared" ca="1" si="169"/>
        <v>2.327</v>
      </c>
      <c r="BY46" s="87">
        <f t="shared" ca="1" si="169"/>
        <v>2.1190000000000002</v>
      </c>
      <c r="BZ46" s="87">
        <f t="shared" ca="1" si="169"/>
        <v>2.8959999999999999</v>
      </c>
      <c r="CA46" s="87">
        <f t="shared" ca="1" si="169"/>
        <v>8.1969999999999992</v>
      </c>
      <c r="CB46" s="87">
        <f t="shared" ca="1" si="169"/>
        <v>15.223000000000001</v>
      </c>
      <c r="CC46" s="87">
        <f t="shared" ca="1" si="169"/>
        <v>3.8410000000000002</v>
      </c>
      <c r="CD46" s="87">
        <f t="shared" ca="1" si="169"/>
        <v>1.2649999999999999</v>
      </c>
      <c r="CE46" s="87">
        <f t="shared" ca="1" si="169"/>
        <v>1.306</v>
      </c>
      <c r="CF46" s="87">
        <f t="shared" ca="1" si="169"/>
        <v>72.926000000000002</v>
      </c>
    </row>
    <row r="47" spans="1:84" x14ac:dyDescent="0.25">
      <c r="B47">
        <f t="shared" si="29"/>
        <v>43</v>
      </c>
      <c r="C47" s="89">
        <v>2017</v>
      </c>
      <c r="D47" s="69">
        <v>233</v>
      </c>
      <c r="E47" s="69">
        <v>182</v>
      </c>
      <c r="F47" s="95">
        <f t="shared" si="162"/>
        <v>326.57258064516128</v>
      </c>
      <c r="G47">
        <v>351</v>
      </c>
      <c r="H47">
        <v>50</v>
      </c>
      <c r="I47" s="86">
        <v>2017</v>
      </c>
      <c r="J47">
        <v>6.6</v>
      </c>
      <c r="K47">
        <v>6.9</v>
      </c>
      <c r="L47" t="s">
        <v>105</v>
      </c>
      <c r="T47" s="69" t="s">
        <v>116</v>
      </c>
      <c r="U47">
        <v>0</v>
      </c>
      <c r="X47">
        <f t="shared" ref="X47:X50" si="170">X32</f>
        <v>2020</v>
      </c>
      <c r="Y47" s="87">
        <f t="shared" ref="Y47:AK50" ca="1" si="171">OFFSET($X32,0,Y$39)</f>
        <v>0.35499999999999998</v>
      </c>
      <c r="Z47" s="87">
        <f t="shared" ca="1" si="171"/>
        <v>0.38500000000000001</v>
      </c>
      <c r="AA47" s="87">
        <f t="shared" ca="1" si="171"/>
        <v>0.90700000000000003</v>
      </c>
      <c r="AB47" s="87">
        <f t="shared" ca="1" si="171"/>
        <v>0.84699999999999998</v>
      </c>
      <c r="AC47" s="87">
        <f t="shared" ca="1" si="171"/>
        <v>1.9370000000000001</v>
      </c>
      <c r="AD47" s="87">
        <f t="shared" ca="1" si="171"/>
        <v>1.609</v>
      </c>
      <c r="AE47" s="87">
        <f t="shared" ca="1" si="171"/>
        <v>1.694</v>
      </c>
      <c r="AF47" s="87">
        <f t="shared" ca="1" si="171"/>
        <v>3.3980000000000001</v>
      </c>
      <c r="AG47" s="87">
        <f t="shared" ca="1" si="171"/>
        <v>5.1849999999999996</v>
      </c>
      <c r="AH47" s="87">
        <f t="shared" ca="1" si="171"/>
        <v>5.306</v>
      </c>
      <c r="AI47" s="87">
        <f t="shared" ca="1" si="171"/>
        <v>10.244</v>
      </c>
      <c r="AJ47" s="87">
        <f t="shared" ca="1" si="171"/>
        <v>16.856999999999999</v>
      </c>
      <c r="AK47" s="87">
        <f t="shared" ca="1" si="171"/>
        <v>91.873000000000005</v>
      </c>
      <c r="BS47">
        <f t="shared" si="160"/>
        <v>2017</v>
      </c>
      <c r="BT47" s="87">
        <f t="shared" ref="BT47:CF47" ca="1" si="172">BT12/1000</f>
        <v>4.5359999999999996</v>
      </c>
      <c r="BU47" s="87">
        <f t="shared" ca="1" si="172"/>
        <v>0.77100000000000002</v>
      </c>
      <c r="BV47" s="87">
        <f t="shared" ca="1" si="172"/>
        <v>0.58399999999999996</v>
      </c>
      <c r="BW47" s="87">
        <f t="shared" ca="1" si="172"/>
        <v>4.4480000000000004</v>
      </c>
      <c r="BX47" s="87">
        <f t="shared" ca="1" si="172"/>
        <v>3.1019999999999999</v>
      </c>
      <c r="BY47" s="87">
        <f t="shared" ca="1" si="172"/>
        <v>2.1360000000000001</v>
      </c>
      <c r="BZ47" s="87">
        <f t="shared" ca="1" si="172"/>
        <v>2.9969999999999999</v>
      </c>
      <c r="CA47" s="87">
        <f t="shared" ca="1" si="172"/>
        <v>8.68</v>
      </c>
      <c r="CB47" s="87">
        <f t="shared" ca="1" si="172"/>
        <v>16.041</v>
      </c>
      <c r="CC47" s="87">
        <f t="shared" ca="1" si="172"/>
        <v>4.1509999999999998</v>
      </c>
      <c r="CD47" s="87">
        <f t="shared" ca="1" si="172"/>
        <v>1.3620000000000001</v>
      </c>
      <c r="CE47" s="87">
        <f t="shared" ca="1" si="172"/>
        <v>1.379</v>
      </c>
      <c r="CF47" s="87">
        <f t="shared" ca="1" si="172"/>
        <v>77.257999999999996</v>
      </c>
    </row>
    <row r="48" spans="1:84" x14ac:dyDescent="0.25">
      <c r="B48">
        <f t="shared" si="29"/>
        <v>44</v>
      </c>
      <c r="C48" s="89">
        <v>2018</v>
      </c>
      <c r="D48" s="69">
        <v>281</v>
      </c>
      <c r="E48" s="69">
        <v>221</v>
      </c>
      <c r="F48" s="95">
        <f t="shared" si="162"/>
        <v>336.03612479474549</v>
      </c>
      <c r="G48">
        <v>351</v>
      </c>
      <c r="H48">
        <v>50</v>
      </c>
      <c r="I48" s="86">
        <v>2018</v>
      </c>
      <c r="J48">
        <v>6.8</v>
      </c>
      <c r="K48">
        <v>7.2</v>
      </c>
      <c r="L48" t="s">
        <v>105</v>
      </c>
      <c r="T48" s="69" t="s">
        <v>117</v>
      </c>
      <c r="U48">
        <v>0</v>
      </c>
      <c r="X48">
        <f t="shared" si="170"/>
        <v>2030</v>
      </c>
      <c r="Y48" s="87">
        <f t="shared" ca="1" si="171"/>
        <v>0.65079671093156033</v>
      </c>
      <c r="Z48" s="87">
        <f t="shared" ca="1" si="171"/>
        <v>0.701970224446538</v>
      </c>
      <c r="AA48" s="87">
        <f t="shared" ca="1" si="171"/>
        <v>1.3626461269279118</v>
      </c>
      <c r="AB48" s="87">
        <f t="shared" ca="1" si="171"/>
        <v>1.2188313040604082</v>
      </c>
      <c r="AC48" s="87">
        <f t="shared" ca="1" si="171"/>
        <v>2.6259874272552892</v>
      </c>
      <c r="AD48" s="87">
        <f t="shared" ca="1" si="171"/>
        <v>2.4965611450802547</v>
      </c>
      <c r="AE48" s="87">
        <f t="shared" ca="1" si="171"/>
        <v>3.3566758879355203</v>
      </c>
      <c r="AF48" s="87">
        <f t="shared" ca="1" si="171"/>
        <v>5.1928502600433522</v>
      </c>
      <c r="AG48" s="87">
        <f t="shared" ca="1" si="171"/>
        <v>9.9174339429110354</v>
      </c>
      <c r="AH48" s="87">
        <f t="shared" ca="1" si="171"/>
        <v>8.9978996347244706</v>
      </c>
      <c r="AI48" s="87">
        <f t="shared" ca="1" si="171"/>
        <v>16.798236128311054</v>
      </c>
      <c r="AJ48" s="87">
        <f t="shared" ca="1" si="171"/>
        <v>31.014058998366515</v>
      </c>
      <c r="AK48" s="87">
        <f t="shared" ca="1" si="171"/>
        <v>152.23237173580938</v>
      </c>
      <c r="BS48">
        <f t="shared" si="160"/>
        <v>2018</v>
      </c>
      <c r="BT48" s="87">
        <f t="shared" ref="BT48:CF48" ca="1" si="173">BT13/1000</f>
        <v>4.774</v>
      </c>
      <c r="BU48" s="87">
        <f t="shared" ca="1" si="173"/>
        <v>0.79600000000000004</v>
      </c>
      <c r="BV48" s="87">
        <f t="shared" ca="1" si="173"/>
        <v>0.63200000000000001</v>
      </c>
      <c r="BW48" s="87">
        <f t="shared" ca="1" si="173"/>
        <v>4.5419999999999998</v>
      </c>
      <c r="BX48" s="87">
        <f t="shared" ca="1" si="173"/>
        <v>3.8410000000000002</v>
      </c>
      <c r="BY48" s="87">
        <f t="shared" ca="1" si="173"/>
        <v>2.1539999999999999</v>
      </c>
      <c r="BZ48" s="87">
        <f t="shared" ca="1" si="173"/>
        <v>3.153</v>
      </c>
      <c r="CA48" s="87">
        <f t="shared" ca="1" si="173"/>
        <v>9.1820000000000004</v>
      </c>
      <c r="CB48" s="87">
        <f t="shared" ca="1" si="173"/>
        <v>16.911999999999999</v>
      </c>
      <c r="CC48" s="87">
        <f t="shared" ca="1" si="173"/>
        <v>4.4779999999999998</v>
      </c>
      <c r="CD48" s="87">
        <f t="shared" ca="1" si="173"/>
        <v>1.466</v>
      </c>
      <c r="CE48" s="87">
        <f t="shared" ca="1" si="173"/>
        <v>1.454</v>
      </c>
      <c r="CF48" s="87">
        <f t="shared" ca="1" si="173"/>
        <v>81.855999999999995</v>
      </c>
    </row>
    <row r="49" spans="1:84" x14ac:dyDescent="0.25">
      <c r="B49">
        <f t="shared" si="29"/>
        <v>45</v>
      </c>
      <c r="C49" s="89">
        <v>2019</v>
      </c>
      <c r="D49" s="69">
        <v>332</v>
      </c>
      <c r="E49" s="69">
        <v>263</v>
      </c>
      <c r="F49" s="95">
        <f t="shared" si="162"/>
        <v>384.90729483282672</v>
      </c>
      <c r="G49">
        <v>351</v>
      </c>
      <c r="H49">
        <v>50</v>
      </c>
      <c r="I49" s="86">
        <v>2019</v>
      </c>
      <c r="J49">
        <v>7</v>
      </c>
      <c r="K49">
        <v>7.5</v>
      </c>
      <c r="L49" t="s">
        <v>105</v>
      </c>
      <c r="T49" s="69" t="s">
        <v>118</v>
      </c>
      <c r="U49">
        <v>0</v>
      </c>
      <c r="X49">
        <f t="shared" si="170"/>
        <v>2040</v>
      </c>
      <c r="Y49" s="87">
        <f t="shared" ca="1" si="171"/>
        <v>1.1766446510256521</v>
      </c>
      <c r="Z49" s="87">
        <f t="shared" ca="1" si="171"/>
        <v>1.1237041748604579</v>
      </c>
      <c r="AA49" s="87">
        <f t="shared" ca="1" si="171"/>
        <v>1.8900902445193901</v>
      </c>
      <c r="AB49" s="87">
        <f t="shared" ca="1" si="171"/>
        <v>1.7506079406297472</v>
      </c>
      <c r="AC49" s="87">
        <f t="shared" ca="1" si="171"/>
        <v>3.399431687570734</v>
      </c>
      <c r="AD49" s="87">
        <f t="shared" ca="1" si="171"/>
        <v>3.7427616414953824</v>
      </c>
      <c r="AE49" s="87">
        <f t="shared" ca="1" si="171"/>
        <v>6.5225176284215767</v>
      </c>
      <c r="AF49" s="87">
        <f t="shared" ca="1" si="171"/>
        <v>7.6370225460816572</v>
      </c>
      <c r="AG49" s="87">
        <f t="shared" ca="1" si="171"/>
        <v>18.234255561464536</v>
      </c>
      <c r="AH49" s="87">
        <f t="shared" ca="1" si="171"/>
        <v>14.939613075592211</v>
      </c>
      <c r="AI49" s="87">
        <f t="shared" ca="1" si="171"/>
        <v>26.861688673593157</v>
      </c>
      <c r="AJ49" s="87">
        <f t="shared" ca="1" si="171"/>
        <v>57.225278454944544</v>
      </c>
      <c r="AK49" s="87">
        <f t="shared" ca="1" si="171"/>
        <v>227.99701287633002</v>
      </c>
      <c r="BS49">
        <f t="shared" si="160"/>
        <v>2019</v>
      </c>
      <c r="BT49" s="87">
        <f t="shared" ref="BT49:CF49" ca="1" si="174">BT14/1000</f>
        <v>5.0259999999999998</v>
      </c>
      <c r="BU49" s="87">
        <f t="shared" ca="1" si="174"/>
        <v>0.82099999999999995</v>
      </c>
      <c r="BV49" s="87">
        <f t="shared" ca="1" si="174"/>
        <v>0.68300000000000005</v>
      </c>
      <c r="BW49" s="87">
        <f t="shared" ca="1" si="174"/>
        <v>6.7389999999999999</v>
      </c>
      <c r="BX49" s="87">
        <f t="shared" ca="1" si="174"/>
        <v>5.0030000000000001</v>
      </c>
      <c r="BY49" s="87">
        <f t="shared" ca="1" si="174"/>
        <v>2.1739999999999999</v>
      </c>
      <c r="BZ49" s="87">
        <f t="shared" ca="1" si="174"/>
        <v>3.2480000000000002</v>
      </c>
      <c r="CA49" s="87">
        <f t="shared" ca="1" si="174"/>
        <v>9.7029999999999994</v>
      </c>
      <c r="CB49" s="87">
        <f t="shared" ca="1" si="174"/>
        <v>17.84</v>
      </c>
      <c r="CC49" s="87">
        <f t="shared" ca="1" si="174"/>
        <v>4.8220000000000001</v>
      </c>
      <c r="CD49" s="87">
        <f t="shared" ca="1" si="174"/>
        <v>1.5760000000000001</v>
      </c>
      <c r="CE49" s="87">
        <f t="shared" ca="1" si="174"/>
        <v>1.53</v>
      </c>
      <c r="CF49" s="87">
        <f t="shared" ca="1" si="174"/>
        <v>86.716999999999999</v>
      </c>
    </row>
    <row r="50" spans="1:84" x14ac:dyDescent="0.25">
      <c r="B50">
        <f t="shared" si="29"/>
        <v>46</v>
      </c>
      <c r="C50" s="89">
        <v>2020</v>
      </c>
      <c r="D50" s="69">
        <v>385</v>
      </c>
      <c r="E50" s="69">
        <v>306</v>
      </c>
      <c r="F50" s="95">
        <f t="shared" si="162"/>
        <v>435.71266002844948</v>
      </c>
      <c r="G50">
        <v>701</v>
      </c>
      <c r="H50">
        <v>100</v>
      </c>
      <c r="I50" s="86">
        <v>2020</v>
      </c>
      <c r="J50">
        <v>7.2</v>
      </c>
      <c r="K50">
        <v>7.8</v>
      </c>
      <c r="L50" t="s">
        <v>105</v>
      </c>
      <c r="T50" s="69" t="s">
        <v>119</v>
      </c>
      <c r="U50">
        <v>0</v>
      </c>
      <c r="X50">
        <f t="shared" si="170"/>
        <v>2050</v>
      </c>
      <c r="Y50" s="87">
        <f t="shared" ca="1" si="171"/>
        <v>2.1273811184532492</v>
      </c>
      <c r="Z50" s="87">
        <f t="shared" ca="1" si="171"/>
        <v>1.7354760568896426</v>
      </c>
      <c r="AA50" s="87">
        <f t="shared" ca="1" si="171"/>
        <v>2.6216939686912277</v>
      </c>
      <c r="AB50" s="87">
        <f t="shared" ca="1" si="171"/>
        <v>2.5143989587291027</v>
      </c>
      <c r="AC50" s="87">
        <f t="shared" ca="1" si="171"/>
        <v>4.4006820743001835</v>
      </c>
      <c r="AD50" s="87">
        <f t="shared" ca="1" si="171"/>
        <v>5.6110240811261596</v>
      </c>
      <c r="AE50" s="87">
        <f t="shared" ca="1" si="171"/>
        <v>12.67421628819692</v>
      </c>
      <c r="AF50" s="87">
        <f t="shared" ca="1" si="171"/>
        <v>11.231618561801673</v>
      </c>
      <c r="AG50" s="87">
        <f t="shared" ca="1" si="171"/>
        <v>33.525615375382685</v>
      </c>
      <c r="AH50" s="87">
        <f t="shared" ca="1" si="171"/>
        <v>24.804904245327279</v>
      </c>
      <c r="AI50" s="87">
        <f t="shared" ca="1" si="171"/>
        <v>42.953933549068985</v>
      </c>
      <c r="AJ50" s="87">
        <f t="shared" ca="1" si="171"/>
        <v>105.58864592404423</v>
      </c>
      <c r="AK50" s="87">
        <f t="shared" ca="1" si="171"/>
        <v>341.46901403298324</v>
      </c>
      <c r="BS50">
        <f t="shared" si="160"/>
        <v>2020</v>
      </c>
      <c r="BT50" s="87">
        <f t="shared" ref="BT50:CF50" ca="1" si="175">BT15/1000</f>
        <v>5.306</v>
      </c>
      <c r="BU50" s="87">
        <f t="shared" ca="1" si="175"/>
        <v>0.84699999999999998</v>
      </c>
      <c r="BV50" s="87">
        <f t="shared" ca="1" si="175"/>
        <v>1.0860000000000001</v>
      </c>
      <c r="BW50" s="87">
        <f t="shared" ca="1" si="175"/>
        <v>6.8730000000000002</v>
      </c>
      <c r="BX50" s="87">
        <f t="shared" ca="1" si="175"/>
        <v>6.1630000000000003</v>
      </c>
      <c r="BY50" s="87">
        <f t="shared" ca="1" si="175"/>
        <v>2.1949999999999998</v>
      </c>
      <c r="BZ50" s="87">
        <f t="shared" ca="1" si="175"/>
        <v>3.3980000000000001</v>
      </c>
      <c r="CA50" s="87">
        <f t="shared" ca="1" si="175"/>
        <v>10.244</v>
      </c>
      <c r="CB50" s="87">
        <f t="shared" ca="1" si="175"/>
        <v>18.827999999999999</v>
      </c>
      <c r="CC50" s="87">
        <f t="shared" ca="1" si="175"/>
        <v>5.1849999999999996</v>
      </c>
      <c r="CD50" s="87">
        <f t="shared" ca="1" si="175"/>
        <v>1.694</v>
      </c>
      <c r="CE50" s="87">
        <f t="shared" ca="1" si="175"/>
        <v>1.609</v>
      </c>
      <c r="CF50" s="87">
        <f t="shared" ca="1" si="175"/>
        <v>91.873000000000005</v>
      </c>
    </row>
    <row r="51" spans="1:84" x14ac:dyDescent="0.25">
      <c r="B51">
        <f t="shared" si="29"/>
        <v>47</v>
      </c>
      <c r="C51" s="89">
        <v>2021</v>
      </c>
      <c r="D51" s="69">
        <v>441</v>
      </c>
      <c r="E51" s="69">
        <v>352</v>
      </c>
      <c r="F51" s="95">
        <f t="shared" si="162"/>
        <v>510.93628808864264</v>
      </c>
      <c r="G51">
        <v>701</v>
      </c>
      <c r="H51">
        <v>100</v>
      </c>
      <c r="I51" s="86">
        <v>2021</v>
      </c>
      <c r="J51">
        <v>7.5</v>
      </c>
      <c r="K51">
        <v>8.1</v>
      </c>
      <c r="L51" t="s">
        <v>105</v>
      </c>
      <c r="T51" s="69" t="s">
        <v>120</v>
      </c>
      <c r="U51">
        <v>0</v>
      </c>
      <c r="BS51">
        <f t="shared" si="160"/>
        <v>2021</v>
      </c>
      <c r="BT51" s="87">
        <f t="shared" ref="BT51:CF51" ca="1" si="176">BT16/1000</f>
        <v>5.6239999999999997</v>
      </c>
      <c r="BU51" s="87">
        <f t="shared" ca="1" si="176"/>
        <v>0.879</v>
      </c>
      <c r="BV51" s="87">
        <f t="shared" ca="1" si="176"/>
        <v>1.1419999999999999</v>
      </c>
      <c r="BW51" s="87">
        <f t="shared" ca="1" si="176"/>
        <v>7.0430000000000001</v>
      </c>
      <c r="BX51" s="87">
        <f t="shared" ca="1" si="176"/>
        <v>6.2130000000000001</v>
      </c>
      <c r="BY51" s="87">
        <f t="shared" ca="1" si="176"/>
        <v>2.218</v>
      </c>
      <c r="BZ51" s="87">
        <f t="shared" ca="1" si="176"/>
        <v>3.5670000000000002</v>
      </c>
      <c r="CA51" s="87">
        <f t="shared" ca="1" si="176"/>
        <v>10.807</v>
      </c>
      <c r="CB51" s="87">
        <f t="shared" ca="1" si="176"/>
        <v>19.879000000000001</v>
      </c>
      <c r="CC51" s="87">
        <f t="shared" ca="1" si="176"/>
        <v>5.5670000000000002</v>
      </c>
      <c r="CD51" s="87">
        <f t="shared" ca="1" si="176"/>
        <v>1.82</v>
      </c>
      <c r="CE51" s="87">
        <f t="shared" ca="1" si="176"/>
        <v>1.6910000000000001</v>
      </c>
      <c r="CF51" s="87">
        <f t="shared" ca="1" si="176"/>
        <v>98.731999999999999</v>
      </c>
    </row>
    <row r="52" spans="1:84" x14ac:dyDescent="0.25">
      <c r="B52">
        <f t="shared" si="29"/>
        <v>48</v>
      </c>
      <c r="C52" s="89">
        <v>2022</v>
      </c>
      <c r="D52" s="69">
        <v>465</v>
      </c>
      <c r="E52" s="69">
        <v>399</v>
      </c>
      <c r="F52" s="95">
        <f t="shared" si="162"/>
        <v>589.89622641509436</v>
      </c>
      <c r="G52">
        <v>701</v>
      </c>
      <c r="H52">
        <v>100</v>
      </c>
      <c r="I52" s="86">
        <v>2022</v>
      </c>
      <c r="J52">
        <v>7.7</v>
      </c>
      <c r="K52">
        <v>8.5</v>
      </c>
      <c r="L52" t="s">
        <v>105</v>
      </c>
      <c r="T52" s="69" t="s">
        <v>121</v>
      </c>
      <c r="U52">
        <v>0</v>
      </c>
      <c r="Y52" s="87" t="str">
        <f ca="1">Y45</f>
        <v>Liberia</v>
      </c>
      <c r="Z52" s="87" t="str">
        <f t="shared" ref="Z52:AK52" ca="1" si="177">Z45</f>
        <v>Guinée Bissau</v>
      </c>
      <c r="AA52" s="87" t="str">
        <f t="shared" ca="1" si="177"/>
        <v>Sierra Leone</v>
      </c>
      <c r="AB52" s="87" t="str">
        <f t="shared" ca="1" si="177"/>
        <v>Gambia</v>
      </c>
      <c r="AC52" s="87" t="str">
        <f t="shared" ca="1" si="177"/>
        <v>Guinea</v>
      </c>
      <c r="AD52" s="87" t="str">
        <f t="shared" ca="1" si="177"/>
        <v>Niger</v>
      </c>
      <c r="AE52" s="87" t="str">
        <f t="shared" ca="1" si="177"/>
        <v>Burkina</v>
      </c>
      <c r="AF52" s="87" t="str">
        <f t="shared" ca="1" si="177"/>
        <v>Mali</v>
      </c>
      <c r="AG52" s="87" t="str">
        <f t="shared" ca="1" si="177"/>
        <v>Togo/Benin</v>
      </c>
      <c r="AH52" s="87" t="str">
        <f t="shared" ca="1" si="177"/>
        <v>Senegal</v>
      </c>
      <c r="AI52" s="87" t="str">
        <f t="shared" ca="1" si="177"/>
        <v>Ivory Coast</v>
      </c>
      <c r="AJ52" s="87" t="str">
        <f t="shared" ca="1" si="177"/>
        <v>Ghana</v>
      </c>
      <c r="AK52" s="87" t="str">
        <f t="shared" ca="1" si="177"/>
        <v>Nigeria</v>
      </c>
      <c r="AO52" s="87" t="str">
        <f t="shared" ref="AO52:BA52" ca="1" si="178">Y52</f>
        <v>Liberia</v>
      </c>
      <c r="AP52" s="87" t="str">
        <f t="shared" ca="1" si="178"/>
        <v>Guinée Bissau</v>
      </c>
      <c r="AQ52" s="87" t="str">
        <f t="shared" ca="1" si="178"/>
        <v>Sierra Leone</v>
      </c>
      <c r="AR52" s="87" t="str">
        <f t="shared" ca="1" si="178"/>
        <v>Gambia</v>
      </c>
      <c r="AS52" s="87" t="str">
        <f t="shared" ca="1" si="178"/>
        <v>Guinea</v>
      </c>
      <c r="AT52" s="87" t="str">
        <f t="shared" ca="1" si="178"/>
        <v>Niger</v>
      </c>
      <c r="AU52" s="87" t="str">
        <f t="shared" ca="1" si="178"/>
        <v>Burkina</v>
      </c>
      <c r="AV52" s="87" t="str">
        <f t="shared" ca="1" si="178"/>
        <v>Mali</v>
      </c>
      <c r="AW52" s="87" t="str">
        <f t="shared" ca="1" si="178"/>
        <v>Togo/Benin</v>
      </c>
      <c r="AX52" s="87" t="str">
        <f t="shared" ca="1" si="178"/>
        <v>Senegal</v>
      </c>
      <c r="AY52" s="87" t="str">
        <f t="shared" ca="1" si="178"/>
        <v>Ivory Coast</v>
      </c>
      <c r="AZ52" s="87" t="str">
        <f t="shared" ca="1" si="178"/>
        <v>Ghana</v>
      </c>
      <c r="BA52" s="87" t="str">
        <f t="shared" ca="1" si="178"/>
        <v>Nigeria</v>
      </c>
      <c r="BS52">
        <f t="shared" si="160"/>
        <v>2022</v>
      </c>
      <c r="BT52" s="87">
        <f t="shared" ref="BT52:CF52" ca="1" si="179">BT17/1000</f>
        <v>5.9329999999999998</v>
      </c>
      <c r="BU52" s="87">
        <f t="shared" ca="1" si="179"/>
        <v>0.91200000000000003</v>
      </c>
      <c r="BV52" s="87">
        <f t="shared" ca="1" si="179"/>
        <v>1.1659999999999999</v>
      </c>
      <c r="BW52" s="87">
        <f t="shared" ca="1" si="179"/>
        <v>7.1870000000000003</v>
      </c>
      <c r="BX52" s="87">
        <f t="shared" ca="1" si="179"/>
        <v>6.2629999999999999</v>
      </c>
      <c r="BY52" s="87">
        <f t="shared" ca="1" si="179"/>
        <v>2.242</v>
      </c>
      <c r="BZ52" s="87">
        <f t="shared" ca="1" si="179"/>
        <v>3.74</v>
      </c>
      <c r="CA52" s="87">
        <f t="shared" ca="1" si="179"/>
        <v>11.391</v>
      </c>
      <c r="CB52" s="87">
        <f t="shared" ca="1" si="179"/>
        <v>20.998000000000001</v>
      </c>
      <c r="CC52" s="87">
        <f t="shared" ca="1" si="179"/>
        <v>5.9710000000000001</v>
      </c>
      <c r="CD52" s="87">
        <f t="shared" ca="1" si="179"/>
        <v>1.9530000000000001</v>
      </c>
      <c r="CE52" s="87">
        <f t="shared" ca="1" si="179"/>
        <v>1.774</v>
      </c>
      <c r="CF52" s="87">
        <f t="shared" ca="1" si="179"/>
        <v>104.604</v>
      </c>
    </row>
    <row r="53" spans="1:84" x14ac:dyDescent="0.25">
      <c r="B53">
        <f t="shared" si="29"/>
        <v>49</v>
      </c>
      <c r="C53" s="89">
        <v>2023</v>
      </c>
      <c r="D53" s="69">
        <v>491</v>
      </c>
      <c r="E53" s="69">
        <v>418</v>
      </c>
      <c r="F53" s="95">
        <f t="shared" si="162"/>
        <v>628.36959370904322</v>
      </c>
      <c r="G53">
        <v>701</v>
      </c>
      <c r="H53">
        <v>100</v>
      </c>
      <c r="I53" s="86">
        <v>2023</v>
      </c>
      <c r="J53">
        <v>8</v>
      </c>
      <c r="K53">
        <v>8.8000000000000007</v>
      </c>
      <c r="L53" t="s">
        <v>105</v>
      </c>
      <c r="T53" s="69" t="s">
        <v>122</v>
      </c>
      <c r="U53">
        <v>0</v>
      </c>
      <c r="X53">
        <v>2012</v>
      </c>
      <c r="Y53" s="87">
        <f ca="1">Y46/Y$46</f>
        <v>1</v>
      </c>
      <c r="Z53" s="87">
        <f t="shared" ref="Z53:AK53" ca="1" si="180">Z46/Z$46</f>
        <v>1</v>
      </c>
      <c r="AA53" s="87">
        <f t="shared" ca="1" si="180"/>
        <v>1</v>
      </c>
      <c r="AB53" s="87">
        <f t="shared" ca="1" si="180"/>
        <v>1</v>
      </c>
      <c r="AC53" s="87">
        <f t="shared" ca="1" si="180"/>
        <v>1</v>
      </c>
      <c r="AD53" s="87">
        <f t="shared" ca="1" si="180"/>
        <v>1</v>
      </c>
      <c r="AE53" s="87">
        <f t="shared" ca="1" si="180"/>
        <v>1</v>
      </c>
      <c r="AF53" s="87">
        <f t="shared" ca="1" si="180"/>
        <v>1</v>
      </c>
      <c r="AG53" s="87">
        <f t="shared" ca="1" si="180"/>
        <v>1</v>
      </c>
      <c r="AH53" s="87">
        <f t="shared" ca="1" si="180"/>
        <v>1</v>
      </c>
      <c r="AI53" s="87">
        <f t="shared" ca="1" si="180"/>
        <v>1</v>
      </c>
      <c r="AJ53" s="87">
        <f t="shared" ca="1" si="180"/>
        <v>1</v>
      </c>
      <c r="AK53" s="87">
        <f t="shared" ca="1" si="180"/>
        <v>1</v>
      </c>
      <c r="AN53" s="87" t="s">
        <v>507</v>
      </c>
      <c r="AO53" s="21">
        <f t="shared" ref="AO53:BA53" ca="1" si="181">(Y54/Y53)^(1/(2020-2012))-1</f>
        <v>0.16447422940230871</v>
      </c>
      <c r="AP53" s="21">
        <f t="shared" ca="1" si="181"/>
        <v>0.1259894143270377</v>
      </c>
      <c r="AQ53" s="21">
        <f t="shared" ca="1" si="181"/>
        <v>0.16516385356456453</v>
      </c>
      <c r="AR53" s="21">
        <f t="shared" ca="1" si="181"/>
        <v>0.12210032636146129</v>
      </c>
      <c r="AS53" s="21">
        <f t="shared" ca="1" si="181"/>
        <v>0.12406002578156761</v>
      </c>
      <c r="AT53" s="21">
        <f t="shared" ca="1" si="181"/>
        <v>7.3544745784519305E-2</v>
      </c>
      <c r="AU53" s="21">
        <f t="shared" ca="1" si="181"/>
        <v>7.7260699417644796E-2</v>
      </c>
      <c r="AV53" s="21">
        <f t="shared" ca="1" si="181"/>
        <v>0.13521098073328086</v>
      </c>
      <c r="AW53" s="21">
        <f t="shared" ca="1" si="181"/>
        <v>8.1859802488442046E-2</v>
      </c>
      <c r="AX53" s="21">
        <f t="shared" ca="1" si="181"/>
        <v>7.4283372992162811E-2</v>
      </c>
      <c r="AY53" s="21">
        <f t="shared" ca="1" si="181"/>
        <v>6.0769658418226236E-2</v>
      </c>
      <c r="AZ53" s="21">
        <f t="shared" ca="1" si="181"/>
        <v>6.1961717877268008E-2</v>
      </c>
      <c r="BA53" s="21">
        <f t="shared" ca="1" si="181"/>
        <v>5.9023125767155626E-2</v>
      </c>
      <c r="BS53">
        <f t="shared" si="160"/>
        <v>2023</v>
      </c>
      <c r="BT53" s="87">
        <f t="shared" ref="BT53:CF53" ca="1" si="182">BT18/1000</f>
        <v>6.2610000000000001</v>
      </c>
      <c r="BU53" s="87">
        <f t="shared" ca="1" si="182"/>
        <v>0.94499999999999995</v>
      </c>
      <c r="BV53" s="87">
        <f t="shared" ca="1" si="182"/>
        <v>1.1919999999999999</v>
      </c>
      <c r="BW53" s="87">
        <f t="shared" ca="1" si="182"/>
        <v>7.3319999999999999</v>
      </c>
      <c r="BX53" s="87">
        <f t="shared" ca="1" si="182"/>
        <v>6.3129999999999997</v>
      </c>
      <c r="BY53" s="87">
        <f t="shared" ca="1" si="182"/>
        <v>2.2679999999999998</v>
      </c>
      <c r="BZ53" s="87">
        <f t="shared" ca="1" si="182"/>
        <v>3.9159999999999999</v>
      </c>
      <c r="CA53" s="87">
        <f t="shared" ca="1" si="182"/>
        <v>11.997999999999999</v>
      </c>
      <c r="CB53" s="87">
        <f t="shared" ca="1" si="182"/>
        <v>22.189</v>
      </c>
      <c r="CC53" s="87">
        <f t="shared" ca="1" si="182"/>
        <v>6.3949999999999996</v>
      </c>
      <c r="CD53" s="87">
        <f t="shared" ca="1" si="182"/>
        <v>2.0950000000000002</v>
      </c>
      <c r="CE53" s="87">
        <f t="shared" ca="1" si="182"/>
        <v>1.86</v>
      </c>
      <c r="CF53" s="87">
        <f t="shared" ca="1" si="182"/>
        <v>110.821</v>
      </c>
    </row>
    <row r="54" spans="1:84" x14ac:dyDescent="0.25">
      <c r="B54">
        <f t="shared" si="29"/>
        <v>50</v>
      </c>
      <c r="C54" s="89">
        <v>2024</v>
      </c>
      <c r="D54" s="69">
        <v>517</v>
      </c>
      <c r="E54" s="69">
        <v>438</v>
      </c>
      <c r="F54" s="95">
        <f t="shared" si="162"/>
        <v>670.96683673469386</v>
      </c>
      <c r="G54">
        <v>701</v>
      </c>
      <c r="H54">
        <v>100</v>
      </c>
      <c r="I54" s="86">
        <v>2024</v>
      </c>
      <c r="J54">
        <v>8.1999999999999993</v>
      </c>
      <c r="K54">
        <v>9.1999999999999993</v>
      </c>
      <c r="L54" t="s">
        <v>105</v>
      </c>
      <c r="T54" s="69" t="s">
        <v>123</v>
      </c>
      <c r="U54">
        <v>0</v>
      </c>
      <c r="X54">
        <f t="shared" ref="X54:X57" si="183">X47</f>
        <v>2020</v>
      </c>
      <c r="Y54" s="87">
        <f t="shared" ref="Y54:AK57" ca="1" si="184">Y47/Y$46</f>
        <v>3.3809523809523809</v>
      </c>
      <c r="Z54" s="87">
        <f t="shared" ca="1" si="184"/>
        <v>2.5838926174496648</v>
      </c>
      <c r="AA54" s="87">
        <f t="shared" ca="1" si="184"/>
        <v>3.3970037453183521</v>
      </c>
      <c r="AB54" s="87">
        <f t="shared" ca="1" si="184"/>
        <v>2.5133531157270026</v>
      </c>
      <c r="AC54" s="87">
        <f t="shared" ca="1" si="184"/>
        <v>2.5486842105263157</v>
      </c>
      <c r="AD54" s="87">
        <f t="shared" ca="1" si="184"/>
        <v>1.7642543859649122</v>
      </c>
      <c r="AE54" s="87">
        <f t="shared" ca="1" si="184"/>
        <v>1.8137044967880085</v>
      </c>
      <c r="AF54" s="87">
        <f t="shared" ca="1" si="184"/>
        <v>2.7581168831168834</v>
      </c>
      <c r="AG54" s="87">
        <f t="shared" ca="1" si="184"/>
        <v>1.8765834238146941</v>
      </c>
      <c r="AH54" s="87">
        <f t="shared" ca="1" si="184"/>
        <v>1.7739886325643597</v>
      </c>
      <c r="AI54" s="87">
        <f t="shared" ca="1" si="184"/>
        <v>1.6031298904538342</v>
      </c>
      <c r="AJ54" s="87">
        <f t="shared" ca="1" si="184"/>
        <v>1.6175990787832262</v>
      </c>
      <c r="AK54" s="87">
        <f t="shared" ca="1" si="184"/>
        <v>1.5821350462380961</v>
      </c>
      <c r="AN54" s="87" t="s">
        <v>508</v>
      </c>
      <c r="AO54" s="21">
        <f t="shared" ref="AO54:BA54" ca="1" si="185">(Y55/Y54)^(1/(2030-2020))-1</f>
        <v>6.2482289739620667E-2</v>
      </c>
      <c r="AP54" s="21">
        <f t="shared" ca="1" si="185"/>
        <v>6.1905318990090663E-2</v>
      </c>
      <c r="AQ54" s="21">
        <f t="shared" ca="1" si="185"/>
        <v>4.1543900421406432E-2</v>
      </c>
      <c r="AR54" s="21">
        <f t="shared" ca="1" si="185"/>
        <v>3.7065099094495402E-2</v>
      </c>
      <c r="AS54" s="21">
        <f t="shared" ca="1" si="185"/>
        <v>3.0899436350337206E-2</v>
      </c>
      <c r="AT54" s="21">
        <f t="shared" ca="1" si="185"/>
        <v>4.4909352355608778E-2</v>
      </c>
      <c r="AU54" s="21">
        <f t="shared" ca="1" si="185"/>
        <v>7.0778396007569855E-2</v>
      </c>
      <c r="AV54" s="21">
        <f t="shared" ca="1" si="185"/>
        <v>4.332170517638434E-2</v>
      </c>
      <c r="AW54" s="21">
        <f t="shared" ca="1" si="185"/>
        <v>6.700156292643844E-2</v>
      </c>
      <c r="AX54" s="21">
        <f t="shared" ca="1" si="185"/>
        <v>5.4234901563416704E-2</v>
      </c>
      <c r="AY54" s="21">
        <f t="shared" ca="1" si="185"/>
        <v>5.0701642568105054E-2</v>
      </c>
      <c r="AZ54" s="21">
        <f t="shared" ca="1" si="185"/>
        <v>6.2864329821438414E-2</v>
      </c>
      <c r="BA54" s="21">
        <f t="shared" ca="1" si="185"/>
        <v>5.1796960784145973E-2</v>
      </c>
      <c r="BS54">
        <f>BS19</f>
        <v>2024</v>
      </c>
      <c r="BT54" s="87">
        <f t="shared" ref="BT54:CF54" ca="1" si="186">BT19/1000</f>
        <v>6.6109999999999998</v>
      </c>
      <c r="BU54" s="87">
        <f t="shared" ca="1" si="186"/>
        <v>0.98</v>
      </c>
      <c r="BV54" s="87">
        <f t="shared" ca="1" si="186"/>
        <v>1.218</v>
      </c>
      <c r="BW54" s="87">
        <f t="shared" ca="1" si="186"/>
        <v>7.4770000000000003</v>
      </c>
      <c r="BX54" s="87">
        <f t="shared" ca="1" si="186"/>
        <v>6.3630000000000004</v>
      </c>
      <c r="BY54" s="87">
        <f t="shared" ca="1" si="186"/>
        <v>2.2949999999999999</v>
      </c>
      <c r="BZ54" s="87">
        <f t="shared" ca="1" si="186"/>
        <v>4.0970000000000004</v>
      </c>
      <c r="CA54" s="87">
        <f t="shared" ca="1" si="186"/>
        <v>12.628</v>
      </c>
      <c r="CB54" s="87">
        <f t="shared" ca="1" si="186"/>
        <v>23.456</v>
      </c>
      <c r="CC54" s="87">
        <f t="shared" ca="1" si="186"/>
        <v>6.8419999999999996</v>
      </c>
      <c r="CD54" s="87">
        <f t="shared" ca="1" si="186"/>
        <v>2.2469999999999999</v>
      </c>
      <c r="CE54" s="87">
        <f t="shared" ca="1" si="186"/>
        <v>1.948</v>
      </c>
      <c r="CF54" s="87">
        <f t="shared" ca="1" si="186"/>
        <v>117.41200000000001</v>
      </c>
    </row>
    <row r="55" spans="1:84" x14ac:dyDescent="0.25">
      <c r="B55">
        <f t="shared" si="29"/>
        <v>51</v>
      </c>
      <c r="C55" s="89">
        <v>2025</v>
      </c>
      <c r="D55" s="69">
        <v>545</v>
      </c>
      <c r="E55" s="69">
        <v>458</v>
      </c>
      <c r="F55" s="95">
        <f t="shared" si="162"/>
        <v>713.7071960297767</v>
      </c>
      <c r="G55">
        <v>701</v>
      </c>
      <c r="H55">
        <v>100</v>
      </c>
      <c r="I55" s="86">
        <v>2025</v>
      </c>
      <c r="J55">
        <v>8.5</v>
      </c>
      <c r="K55">
        <v>9.6</v>
      </c>
      <c r="L55" t="s">
        <v>105</v>
      </c>
      <c r="T55" s="69" t="s">
        <v>124</v>
      </c>
      <c r="U55">
        <v>0</v>
      </c>
      <c r="X55">
        <f t="shared" si="183"/>
        <v>2030</v>
      </c>
      <c r="Y55" s="87">
        <f t="shared" ca="1" si="184"/>
        <v>6.1980639136339084</v>
      </c>
      <c r="Z55" s="87">
        <f t="shared" ca="1" si="184"/>
        <v>4.711209560043879</v>
      </c>
      <c r="AA55" s="87">
        <f t="shared" ca="1" si="184"/>
        <v>5.1035435465464856</v>
      </c>
      <c r="AB55" s="87">
        <f t="shared" ca="1" si="184"/>
        <v>3.6167101010694602</v>
      </c>
      <c r="AC55" s="87">
        <f t="shared" ca="1" si="184"/>
        <v>3.4552466148095911</v>
      </c>
      <c r="AD55" s="87">
        <f t="shared" ca="1" si="184"/>
        <v>2.7374573959213317</v>
      </c>
      <c r="AE55" s="87">
        <f t="shared" ca="1" si="184"/>
        <v>3.5938714003592294</v>
      </c>
      <c r="AF55" s="87">
        <f t="shared" ca="1" si="184"/>
        <v>4.2149758604247989</v>
      </c>
      <c r="AG55" s="87">
        <f t="shared" ca="1" si="184"/>
        <v>3.5893716767683808</v>
      </c>
      <c r="AH55" s="87">
        <f t="shared" ca="1" si="184"/>
        <v>3.0083248527998898</v>
      </c>
      <c r="AI55" s="87">
        <f t="shared" ca="1" si="184"/>
        <v>2.6288319449626063</v>
      </c>
      <c r="AJ55" s="87">
        <f t="shared" ca="1" si="184"/>
        <v>2.9761116014169962</v>
      </c>
      <c r="AK55" s="87">
        <f t="shared" ca="1" si="184"/>
        <v>2.6215772914258793</v>
      </c>
      <c r="AN55" t="s">
        <v>509</v>
      </c>
      <c r="AO55" s="21">
        <f t="shared" ref="AO55:BA55" ca="1" si="187">(Y57/Y55)^(1/(2050-2031))-1</f>
        <v>6.4323574152565843E-2</v>
      </c>
      <c r="AP55" s="21">
        <f t="shared" ca="1" si="187"/>
        <v>4.8792251904424599E-2</v>
      </c>
      <c r="AQ55" s="21">
        <f t="shared" ca="1" si="187"/>
        <v>3.5041676651768272E-2</v>
      </c>
      <c r="AR55" s="21">
        <f t="shared" ca="1" si="187"/>
        <v>3.8848306685987488E-2</v>
      </c>
      <c r="AS55" s="21">
        <f t="shared" ca="1" si="187"/>
        <v>2.7546394151103604E-2</v>
      </c>
      <c r="AT55" s="21">
        <f t="shared" ca="1" si="187"/>
        <v>4.3543416126162748E-2</v>
      </c>
      <c r="AU55" s="21">
        <f t="shared" ca="1" si="187"/>
        <v>7.2430204336366488E-2</v>
      </c>
      <c r="AV55" s="21">
        <f t="shared" ca="1" si="187"/>
        <v>4.1438197283815148E-2</v>
      </c>
      <c r="AW55" s="21">
        <f t="shared" ca="1" si="187"/>
        <v>6.6205498759235315E-2</v>
      </c>
      <c r="AX55" s="21">
        <f t="shared" ca="1" si="187"/>
        <v>5.482097822782106E-2</v>
      </c>
      <c r="AY55" s="21">
        <f t="shared" ca="1" si="187"/>
        <v>5.0654587213577296E-2</v>
      </c>
      <c r="AZ55" s="21">
        <f t="shared" ca="1" si="187"/>
        <v>6.6603697379560955E-2</v>
      </c>
      <c r="BA55" s="21">
        <f t="shared" ca="1" si="187"/>
        <v>4.3435212849962435E-2</v>
      </c>
      <c r="BS55">
        <f t="shared" si="160"/>
        <v>2025</v>
      </c>
      <c r="BT55" s="87">
        <f t="shared" ref="BT55:CF55" ca="1" si="188">BT20/1000</f>
        <v>6.9829999999999997</v>
      </c>
      <c r="BU55" s="87">
        <f t="shared" ca="1" si="188"/>
        <v>1.0169999999999999</v>
      </c>
      <c r="BV55" s="87">
        <f t="shared" ca="1" si="188"/>
        <v>1.246</v>
      </c>
      <c r="BW55" s="87">
        <f t="shared" ca="1" si="188"/>
        <v>7.6260000000000003</v>
      </c>
      <c r="BX55" s="87">
        <f t="shared" ca="1" si="188"/>
        <v>6.4130000000000003</v>
      </c>
      <c r="BY55" s="87">
        <f t="shared" ca="1" si="188"/>
        <v>2.3239999999999998</v>
      </c>
      <c r="BZ55" s="87">
        <f t="shared" ca="1" si="188"/>
        <v>4.282</v>
      </c>
      <c r="CA55" s="87">
        <f t="shared" ca="1" si="188"/>
        <v>13.284000000000001</v>
      </c>
      <c r="CB55" s="87">
        <f t="shared" ca="1" si="188"/>
        <v>24.803000000000001</v>
      </c>
      <c r="CC55" s="87">
        <f t="shared" ca="1" si="188"/>
        <v>7.3140000000000001</v>
      </c>
      <c r="CD55" s="87">
        <f t="shared" ca="1" si="188"/>
        <v>2.4079999999999999</v>
      </c>
      <c r="CE55" s="87">
        <f t="shared" ca="1" si="188"/>
        <v>2.0390000000000001</v>
      </c>
      <c r="CF55" s="87">
        <f t="shared" ca="1" si="188"/>
        <v>124.393</v>
      </c>
    </row>
    <row r="56" spans="1:84" x14ac:dyDescent="0.25">
      <c r="B56">
        <f t="shared" si="29"/>
        <v>52</v>
      </c>
      <c r="X56">
        <f t="shared" si="183"/>
        <v>2040</v>
      </c>
      <c r="Y56" s="87">
        <f t="shared" ca="1" si="184"/>
        <v>11.206139533577639</v>
      </c>
      <c r="Z56" s="87">
        <f t="shared" ca="1" si="184"/>
        <v>7.5416387574527377</v>
      </c>
      <c r="AA56" s="87">
        <f t="shared" ca="1" si="184"/>
        <v>7.0789896798479024</v>
      </c>
      <c r="AB56" s="87">
        <f t="shared" ca="1" si="184"/>
        <v>5.1946823164087448</v>
      </c>
      <c r="AC56" s="87">
        <f t="shared" ca="1" si="184"/>
        <v>4.4729364310141237</v>
      </c>
      <c r="AD56" s="87">
        <f t="shared" ca="1" si="184"/>
        <v>4.1039053086572173</v>
      </c>
      <c r="AE56" s="87">
        <f t="shared" ca="1" si="184"/>
        <v>6.9834235850338073</v>
      </c>
      <c r="AF56" s="87">
        <f t="shared" ca="1" si="184"/>
        <v>6.1988819367545922</v>
      </c>
      <c r="AG56" s="87">
        <f t="shared" ca="1" si="184"/>
        <v>6.5994410283983127</v>
      </c>
      <c r="AH56" s="87">
        <f t="shared" ca="1" si="184"/>
        <v>4.994855591973324</v>
      </c>
      <c r="AI56" s="87">
        <f t="shared" ca="1" si="184"/>
        <v>4.2037071476671608</v>
      </c>
      <c r="AJ56" s="87">
        <f t="shared" ca="1" si="184"/>
        <v>5.491342333264039</v>
      </c>
      <c r="AK56" s="87">
        <f t="shared" ca="1" si="184"/>
        <v>3.9263120232194462</v>
      </c>
      <c r="BS56">
        <f t="shared" si="160"/>
        <v>2026</v>
      </c>
      <c r="BT56" s="87">
        <f t="shared" ref="BT56:CF56" ca="1" si="189">BT21/1000</f>
        <v>7.3639667765016847</v>
      </c>
      <c r="BU56" s="87">
        <f t="shared" ca="1" si="189"/>
        <v>1.0547235967412527</v>
      </c>
      <c r="BV56" s="87">
        <f t="shared" ca="1" si="189"/>
        <v>1.2751162442672297</v>
      </c>
      <c r="BW56" s="87">
        <f t="shared" ca="1" si="189"/>
        <v>7.7694989765632823</v>
      </c>
      <c r="BX56" s="87">
        <f t="shared" ca="1" si="189"/>
        <v>6.4623988800042076</v>
      </c>
      <c r="BY56" s="87">
        <f t="shared" ca="1" si="189"/>
        <v>2.354439717233217</v>
      </c>
      <c r="BZ56" s="87">
        <f t="shared" ca="1" si="189"/>
        <v>4.4699883861688186</v>
      </c>
      <c r="CA56" s="87">
        <f t="shared" ca="1" si="189"/>
        <v>13.962584564878119</v>
      </c>
      <c r="CB56" s="87">
        <f t="shared" ca="1" si="189"/>
        <v>26.23732088589739</v>
      </c>
      <c r="CC56" s="87">
        <f t="shared" ca="1" si="189"/>
        <v>7.8085216446306989</v>
      </c>
      <c r="CD56" s="87">
        <f t="shared" ca="1" si="189"/>
        <v>2.5791599035457473</v>
      </c>
      <c r="CE56" s="87">
        <f t="shared" ca="1" si="189"/>
        <v>2.1316307701019488</v>
      </c>
      <c r="CF56" s="87">
        <f t="shared" ca="1" si="189"/>
        <v>131.03301608560352</v>
      </c>
    </row>
    <row r="57" spans="1:84" ht="45" x14ac:dyDescent="0.25">
      <c r="B57">
        <f t="shared" si="29"/>
        <v>53</v>
      </c>
      <c r="C57" s="75" t="s">
        <v>105</v>
      </c>
      <c r="D57" s="109" t="s">
        <v>493</v>
      </c>
      <c r="E57" s="109" t="s">
        <v>494</v>
      </c>
      <c r="F57" s="76" t="s">
        <v>152</v>
      </c>
      <c r="G57" s="110" t="s">
        <v>495</v>
      </c>
      <c r="H57" s="110" t="s">
        <v>496</v>
      </c>
      <c r="I57" s="75" t="s">
        <v>105</v>
      </c>
      <c r="J57" s="76" t="s">
        <v>150</v>
      </c>
      <c r="K57" s="76" t="s">
        <v>151</v>
      </c>
      <c r="L57" s="76" t="s">
        <v>152</v>
      </c>
      <c r="M57" s="94" t="s">
        <v>105</v>
      </c>
      <c r="N57" s="71" t="s">
        <v>148</v>
      </c>
      <c r="O57" s="71" t="s">
        <v>149</v>
      </c>
      <c r="P57" s="71" t="s">
        <v>160</v>
      </c>
      <c r="Q57" s="71" t="s">
        <v>156</v>
      </c>
      <c r="R57" s="71" t="s">
        <v>159</v>
      </c>
      <c r="T57" s="78" t="s">
        <v>154</v>
      </c>
      <c r="U57" s="71"/>
      <c r="X57">
        <f t="shared" si="183"/>
        <v>2050</v>
      </c>
      <c r="Y57" s="87">
        <f t="shared" ca="1" si="184"/>
        <v>20.260772556697614</v>
      </c>
      <c r="Z57" s="87">
        <f t="shared" ca="1" si="184"/>
        <v>11.647490314695588</v>
      </c>
      <c r="AA57" s="87">
        <f t="shared" ca="1" si="184"/>
        <v>9.8190785344240741</v>
      </c>
      <c r="AB57" s="87">
        <f t="shared" ca="1" si="184"/>
        <v>7.4611245066145475</v>
      </c>
      <c r="AC57" s="87">
        <f t="shared" ca="1" si="184"/>
        <v>5.7903711503949786</v>
      </c>
      <c r="AD57" s="87">
        <f t="shared" ca="1" si="184"/>
        <v>6.1524386854453503</v>
      </c>
      <c r="AE57" s="87">
        <f t="shared" ca="1" si="184"/>
        <v>13.569824719696916</v>
      </c>
      <c r="AF57" s="87">
        <f t="shared" ca="1" si="184"/>
        <v>9.1165735079559038</v>
      </c>
      <c r="AG57" s="87">
        <f t="shared" ca="1" si="184"/>
        <v>12.133773208607559</v>
      </c>
      <c r="AH57" s="87">
        <f t="shared" ca="1" si="184"/>
        <v>8.2931809579830418</v>
      </c>
      <c r="AI57" s="87">
        <f t="shared" ca="1" si="184"/>
        <v>6.7220553284927993</v>
      </c>
      <c r="AJ57" s="87">
        <f t="shared" ca="1" si="184"/>
        <v>10.132294973999063</v>
      </c>
      <c r="AK57" s="87">
        <f t="shared" ca="1" si="184"/>
        <v>5.8804011440352548</v>
      </c>
      <c r="BS57">
        <f t="shared" si="160"/>
        <v>2027</v>
      </c>
      <c r="BT57" s="87">
        <f t="shared" ref="BT57:CF57" ca="1" si="190">BT22/1000</f>
        <v>7.7610297335743565</v>
      </c>
      <c r="BU57" s="87">
        <f t="shared" ca="1" si="190"/>
        <v>1.093787809200367</v>
      </c>
      <c r="BV57" s="87">
        <f t="shared" ca="1" si="190"/>
        <v>1.305572692399195</v>
      </c>
      <c r="BW57" s="87">
        <f t="shared" ca="1" si="190"/>
        <v>7.9154914348685015</v>
      </c>
      <c r="BX57" s="87">
        <f t="shared" ca="1" si="190"/>
        <v>6.5110613206645862</v>
      </c>
      <c r="BY57" s="87">
        <f t="shared" ca="1" si="190"/>
        <v>2.3865519709737284</v>
      </c>
      <c r="BZ57" s="87">
        <f t="shared" ca="1" si="190"/>
        <v>4.6611162618611672</v>
      </c>
      <c r="CA57" s="87">
        <f t="shared" ca="1" si="190"/>
        <v>14.665288347550248</v>
      </c>
      <c r="CB57" s="87">
        <f t="shared" ca="1" si="190"/>
        <v>27.763869366979144</v>
      </c>
      <c r="CC57" s="87">
        <f t="shared" ca="1" si="190"/>
        <v>8.3270709725466325</v>
      </c>
      <c r="CD57" s="87">
        <f t="shared" ca="1" si="190"/>
        <v>2.7609431087706602</v>
      </c>
      <c r="CE57" s="87">
        <f t="shared" ca="1" si="190"/>
        <v>2.2262807264355451</v>
      </c>
      <c r="CF57" s="87">
        <f t="shared" ca="1" si="190"/>
        <v>137.62913057541735</v>
      </c>
    </row>
    <row r="58" spans="1:84" x14ac:dyDescent="0.25">
      <c r="A58" s="108" t="s">
        <v>72</v>
      </c>
      <c r="B58">
        <f t="shared" si="29"/>
        <v>54</v>
      </c>
      <c r="C58" s="68" t="s">
        <v>105</v>
      </c>
      <c r="D58" s="69" t="s">
        <v>109</v>
      </c>
      <c r="E58" s="69" t="s">
        <v>109</v>
      </c>
      <c r="F58" s="69" t="s">
        <v>109</v>
      </c>
      <c r="G58" s="69" t="s">
        <v>109</v>
      </c>
      <c r="H58" s="69" t="s">
        <v>109</v>
      </c>
      <c r="I58" s="68" t="s">
        <v>105</v>
      </c>
      <c r="J58" s="69" t="s">
        <v>125</v>
      </c>
      <c r="K58" s="69" t="s">
        <v>125</v>
      </c>
      <c r="L58" s="69" t="s">
        <v>125</v>
      </c>
      <c r="M58" s="94" t="s">
        <v>105</v>
      </c>
      <c r="N58" s="69" t="s">
        <v>109</v>
      </c>
      <c r="O58" s="69" t="s">
        <v>125</v>
      </c>
      <c r="P58" s="69" t="s">
        <v>11</v>
      </c>
      <c r="Q58" s="69" t="s">
        <v>157</v>
      </c>
      <c r="R58" s="69" t="s">
        <v>157</v>
      </c>
      <c r="T58" s="69"/>
      <c r="U58" s="69" t="s">
        <v>157</v>
      </c>
      <c r="BS58">
        <f t="shared" si="160"/>
        <v>2028</v>
      </c>
      <c r="BT58" s="87">
        <f t="shared" ref="BT58:CF58" ca="1" si="191">BT23/1000</f>
        <v>8.1745614722078521</v>
      </c>
      <c r="BU58" s="87">
        <f t="shared" ca="1" si="191"/>
        <v>1.1342380191677348</v>
      </c>
      <c r="BV58" s="87">
        <f t="shared" ca="1" si="191"/>
        <v>1.3374180996526406</v>
      </c>
      <c r="BW58" s="87">
        <f t="shared" ca="1" si="191"/>
        <v>8.061232497107266</v>
      </c>
      <c r="BX58" s="87">
        <f t="shared" ca="1" si="191"/>
        <v>6.5587263170705974</v>
      </c>
      <c r="BY58" s="87">
        <f t="shared" ca="1" si="191"/>
        <v>2.4204117534904492</v>
      </c>
      <c r="BZ58" s="87">
        <f t="shared" ca="1" si="191"/>
        <v>4.855084164005202</v>
      </c>
      <c r="CA58" s="87">
        <f t="shared" ca="1" si="191"/>
        <v>15.392282035289615</v>
      </c>
      <c r="CB58" s="87">
        <f t="shared" ca="1" si="191"/>
        <v>29.388706302124721</v>
      </c>
      <c r="CC58" s="87">
        <f t="shared" ca="1" si="191"/>
        <v>8.8700229769011631</v>
      </c>
      <c r="CD58" s="87">
        <f t="shared" ca="1" si="191"/>
        <v>2.9538872540530408</v>
      </c>
      <c r="CE58" s="87">
        <f t="shared" ca="1" si="191"/>
        <v>2.3228472064426127</v>
      </c>
      <c r="CF58" s="87">
        <f t="shared" ca="1" si="191"/>
        <v>144.13889556509724</v>
      </c>
    </row>
    <row r="59" spans="1:84" x14ac:dyDescent="0.25">
      <c r="A59" t="s">
        <v>73</v>
      </c>
      <c r="B59">
        <f t="shared" si="29"/>
        <v>55</v>
      </c>
      <c r="C59" s="86">
        <v>2011</v>
      </c>
      <c r="D59">
        <v>608</v>
      </c>
      <c r="E59">
        <v>608</v>
      </c>
      <c r="F59">
        <v>608</v>
      </c>
      <c r="G59">
        <v>0</v>
      </c>
      <c r="H59">
        <v>0</v>
      </c>
      <c r="I59" s="86">
        <v>2011</v>
      </c>
      <c r="J59">
        <v>139</v>
      </c>
      <c r="K59">
        <v>139</v>
      </c>
      <c r="L59">
        <v>141</v>
      </c>
      <c r="M59" s="97">
        <f>N59/(O59*8.76)</f>
        <v>0.49932656614434484</v>
      </c>
      <c r="N59">
        <f>E59</f>
        <v>608</v>
      </c>
      <c r="O59">
        <v>139</v>
      </c>
      <c r="P59" s="81">
        <f>1-52.8%</f>
        <v>0.47199999999999998</v>
      </c>
      <c r="Q59">
        <v>0</v>
      </c>
      <c r="R59">
        <v>0</v>
      </c>
      <c r="T59" s="69" t="s">
        <v>110</v>
      </c>
      <c r="U59">
        <v>0</v>
      </c>
      <c r="BS59">
        <f t="shared" si="160"/>
        <v>2029</v>
      </c>
      <c r="BT59" s="87">
        <f t="shared" ref="BT59:CF59" ca="1" si="192">BT24/1000</f>
        <v>8.6049234686273639</v>
      </c>
      <c r="BU59" s="87">
        <f t="shared" ca="1" si="192"/>
        <v>1.1761210605037484</v>
      </c>
      <c r="BV59" s="87">
        <f t="shared" ca="1" si="192"/>
        <v>1.3707022632934291</v>
      </c>
      <c r="BW59" s="87">
        <f t="shared" ca="1" si="192"/>
        <v>8.2062314025736676</v>
      </c>
      <c r="BX59" s="87">
        <f t="shared" ca="1" si="192"/>
        <v>6.6051287786096609</v>
      </c>
      <c r="BY59" s="87">
        <f t="shared" ca="1" si="192"/>
        <v>2.4560963085230436</v>
      </c>
      <c r="BZ59" s="87">
        <f t="shared" ca="1" si="192"/>
        <v>5.0515697356988669</v>
      </c>
      <c r="CA59" s="87">
        <f t="shared" ca="1" si="192"/>
        <v>16.143690001937653</v>
      </c>
      <c r="CB59" s="87">
        <f t="shared" ca="1" si="192"/>
        <v>31.118299089882573</v>
      </c>
      <c r="CC59" s="87">
        <f t="shared" ca="1" si="192"/>
        <v>9.4376897975516396</v>
      </c>
      <c r="CD59" s="87">
        <f t="shared" ca="1" si="192"/>
        <v>3.1585481656167387</v>
      </c>
      <c r="CE59" s="87">
        <f t="shared" ca="1" si="192"/>
        <v>2.4212169793868585</v>
      </c>
      <c r="CF59" s="87">
        <f t="shared" ca="1" si="192"/>
        <v>150.51838481844393</v>
      </c>
    </row>
    <row r="60" spans="1:84" x14ac:dyDescent="0.25">
      <c r="B60">
        <f t="shared" si="29"/>
        <v>56</v>
      </c>
      <c r="C60" s="86">
        <v>2012</v>
      </c>
      <c r="D60">
        <v>760</v>
      </c>
      <c r="E60">
        <v>687</v>
      </c>
      <c r="F60">
        <v>928</v>
      </c>
      <c r="G60">
        <v>0</v>
      </c>
      <c r="H60">
        <v>0</v>
      </c>
      <c r="I60" s="86">
        <v>2012</v>
      </c>
      <c r="J60">
        <v>164</v>
      </c>
      <c r="K60">
        <v>148</v>
      </c>
      <c r="L60">
        <v>200</v>
      </c>
      <c r="M60" s="94" t="s">
        <v>105</v>
      </c>
      <c r="N60">
        <v>1113</v>
      </c>
      <c r="P60" t="s">
        <v>488</v>
      </c>
      <c r="T60" s="69" t="s">
        <v>111</v>
      </c>
      <c r="U60">
        <v>0</v>
      </c>
      <c r="Y60" t="s">
        <v>484</v>
      </c>
      <c r="Z60" t="s">
        <v>485</v>
      </c>
      <c r="AA60" t="s">
        <v>483</v>
      </c>
      <c r="BS60">
        <f t="shared" si="160"/>
        <v>2030</v>
      </c>
      <c r="BT60" s="87">
        <f t="shared" ref="BT60:CF60" ca="1" si="193">BT25/1000</f>
        <v>8.9978996347244706</v>
      </c>
      <c r="BU60" s="87">
        <f t="shared" ca="1" si="193"/>
        <v>1.2188313040604082</v>
      </c>
      <c r="BV60" s="87">
        <f t="shared" ca="1" si="193"/>
        <v>1.4029702244465379</v>
      </c>
      <c r="BW60" s="87">
        <f t="shared" ca="1" si="193"/>
        <v>8.3234636177314734</v>
      </c>
      <c r="BX60" s="87">
        <f t="shared" ca="1" si="193"/>
        <v>6.6186461269279118</v>
      </c>
      <c r="BY60" s="87">
        <f t="shared" ca="1" si="193"/>
        <v>2.4907967109315603</v>
      </c>
      <c r="BZ60" s="87">
        <f t="shared" ca="1" si="193"/>
        <v>5.1928502600433522</v>
      </c>
      <c r="CA60" s="87">
        <f t="shared" ca="1" si="193"/>
        <v>16.798236128311054</v>
      </c>
      <c r="CB60" s="87">
        <f t="shared" ca="1" si="193"/>
        <v>32.985058998366512</v>
      </c>
      <c r="CC60" s="87">
        <f t="shared" ca="1" si="193"/>
        <v>9.9174339429110354</v>
      </c>
      <c r="CD60" s="87">
        <f t="shared" ca="1" si="193"/>
        <v>3.3566758879355203</v>
      </c>
      <c r="CE60" s="87">
        <f t="shared" ca="1" si="193"/>
        <v>2.4965611450802547</v>
      </c>
      <c r="CF60" s="87">
        <f t="shared" ca="1" si="193"/>
        <v>152.23237173580938</v>
      </c>
    </row>
    <row r="61" spans="1:84" x14ac:dyDescent="0.25">
      <c r="B61">
        <f t="shared" si="29"/>
        <v>57</v>
      </c>
      <c r="C61" s="86">
        <v>2013</v>
      </c>
      <c r="D61">
        <v>934</v>
      </c>
      <c r="E61">
        <v>760</v>
      </c>
      <c r="F61">
        <v>1549</v>
      </c>
      <c r="G61">
        <v>0</v>
      </c>
      <c r="H61">
        <v>0</v>
      </c>
      <c r="I61" s="86">
        <v>2013</v>
      </c>
      <c r="J61">
        <v>190</v>
      </c>
      <c r="K61">
        <v>155</v>
      </c>
      <c r="L61">
        <v>281</v>
      </c>
      <c r="M61" s="94" t="s">
        <v>105</v>
      </c>
      <c r="P61" s="94">
        <f ca="1">INDIRECT(A59&amp;"!c10")</f>
        <v>0.15</v>
      </c>
      <c r="T61" s="69" t="s">
        <v>112</v>
      </c>
      <c r="U61">
        <v>0</v>
      </c>
      <c r="X61">
        <f>X31</f>
        <v>2010</v>
      </c>
      <c r="Y61" s="20">
        <v>54.917652054794516</v>
      </c>
      <c r="Z61" s="20">
        <v>51.535150000000002</v>
      </c>
      <c r="AA61" s="20">
        <v>48.231350000000006</v>
      </c>
    </row>
    <row r="62" spans="1:84" x14ac:dyDescent="0.25">
      <c r="B62">
        <f t="shared" si="29"/>
        <v>58</v>
      </c>
      <c r="C62" s="86">
        <v>2014</v>
      </c>
      <c r="D62">
        <v>1102</v>
      </c>
      <c r="E62">
        <v>934</v>
      </c>
      <c r="F62">
        <v>1635</v>
      </c>
      <c r="G62">
        <v>0</v>
      </c>
      <c r="H62">
        <v>0</v>
      </c>
      <c r="I62" s="86">
        <v>2014</v>
      </c>
      <c r="J62">
        <v>221</v>
      </c>
      <c r="K62">
        <v>181</v>
      </c>
      <c r="L62">
        <v>287</v>
      </c>
      <c r="M62" s="94" t="s">
        <v>105</v>
      </c>
      <c r="T62" s="69" t="s">
        <v>113</v>
      </c>
      <c r="U62">
        <v>0</v>
      </c>
      <c r="X62">
        <f>X32</f>
        <v>2020</v>
      </c>
      <c r="Y62" s="20">
        <v>151.41874674253202</v>
      </c>
      <c r="Z62" s="20">
        <v>119.23481</v>
      </c>
      <c r="AA62" s="20">
        <v>95.033960000000008</v>
      </c>
    </row>
    <row r="63" spans="1:84" x14ac:dyDescent="0.25">
      <c r="B63">
        <f t="shared" si="29"/>
        <v>59</v>
      </c>
      <c r="C63" s="86">
        <v>2015</v>
      </c>
      <c r="D63">
        <v>1563</v>
      </c>
      <c r="E63">
        <v>1131</v>
      </c>
      <c r="F63">
        <v>1725</v>
      </c>
      <c r="G63">
        <v>0</v>
      </c>
      <c r="H63">
        <v>0</v>
      </c>
      <c r="I63" s="86">
        <v>2015</v>
      </c>
      <c r="J63">
        <v>268</v>
      </c>
      <c r="K63">
        <v>200</v>
      </c>
      <c r="L63">
        <v>303</v>
      </c>
      <c r="M63" s="94" t="s">
        <v>105</v>
      </c>
      <c r="T63" s="69" t="s">
        <v>114</v>
      </c>
      <c r="U63">
        <v>0</v>
      </c>
      <c r="X63">
        <f>X33</f>
        <v>2030</v>
      </c>
      <c r="Y63" s="20">
        <v>386.11022379459985</v>
      </c>
      <c r="Z63" s="20">
        <v>248.95460582429911</v>
      </c>
      <c r="AA63" s="20">
        <v>165.29699552893888</v>
      </c>
      <c r="BE63" t="str">
        <f t="shared" ref="BE63:BQ63" ca="1" si="194">BD4</f>
        <v>Senegal</v>
      </c>
      <c r="BF63" t="str">
        <f t="shared" ca="1" si="194"/>
        <v>Gambia</v>
      </c>
      <c r="BG63" t="str">
        <f t="shared" ca="1" si="194"/>
        <v>Guinée Bissau</v>
      </c>
      <c r="BH63" t="str">
        <f t="shared" ca="1" si="194"/>
        <v>Guinea</v>
      </c>
      <c r="BI63" t="str">
        <f t="shared" ca="1" si="194"/>
        <v>Sierra Leone</v>
      </c>
      <c r="BJ63" t="str">
        <f t="shared" ca="1" si="194"/>
        <v>Liberia</v>
      </c>
      <c r="BK63" t="str">
        <f t="shared" ca="1" si="194"/>
        <v>Mali</v>
      </c>
      <c r="BL63" t="str">
        <f t="shared" ca="1" si="194"/>
        <v>Ivory Coast</v>
      </c>
      <c r="BM63" t="str">
        <f t="shared" ca="1" si="194"/>
        <v>Ghana</v>
      </c>
      <c r="BN63" t="str">
        <f t="shared" ca="1" si="194"/>
        <v>Togo/Benin</v>
      </c>
      <c r="BO63" t="str">
        <f t="shared" ca="1" si="194"/>
        <v>Burkina</v>
      </c>
      <c r="BP63" t="str">
        <f t="shared" ca="1" si="194"/>
        <v>Niger</v>
      </c>
      <c r="BQ63" t="str">
        <f t="shared" ca="1" si="194"/>
        <v>Nigeria</v>
      </c>
    </row>
    <row r="64" spans="1:84" x14ac:dyDescent="0.25">
      <c r="B64">
        <f t="shared" si="29"/>
        <v>60</v>
      </c>
      <c r="C64" s="86">
        <v>2016</v>
      </c>
      <c r="D64">
        <v>1718</v>
      </c>
      <c r="E64">
        <v>1406</v>
      </c>
      <c r="F64">
        <v>1787</v>
      </c>
      <c r="G64">
        <v>2643</v>
      </c>
      <c r="H64">
        <v>377</v>
      </c>
      <c r="I64" s="86">
        <v>2016</v>
      </c>
      <c r="J64">
        <v>282</v>
      </c>
      <c r="K64">
        <v>231</v>
      </c>
      <c r="L64">
        <v>314</v>
      </c>
      <c r="M64" s="94" t="s">
        <v>105</v>
      </c>
      <c r="T64" s="69" t="s">
        <v>115</v>
      </c>
      <c r="U64">
        <v>0</v>
      </c>
      <c r="X64">
        <f>X34</f>
        <v>2040</v>
      </c>
      <c r="Y64" s="20">
        <v>1015.7738219342796</v>
      </c>
      <c r="Z64" s="20">
        <v>514.04992231798053</v>
      </c>
      <c r="AA64" s="20">
        <v>291.03248604760523</v>
      </c>
      <c r="BC64" t="s">
        <v>555</v>
      </c>
      <c r="BD64">
        <f t="shared" ref="BD64:BD82" si="195">BD84</f>
        <v>2012</v>
      </c>
      <c r="BE64">
        <f t="shared" ref="BE64:BE82" ca="1" si="196">Y7/Y$7</f>
        <v>1</v>
      </c>
      <c r="BF64">
        <f t="shared" ref="BF64:BF82" ca="1" si="197">Z7/Z$7</f>
        <v>1</v>
      </c>
      <c r="BG64">
        <f t="shared" ref="BG64:BG82" ca="1" si="198">AA7/AA$7</f>
        <v>1</v>
      </c>
      <c r="BH64">
        <f t="shared" ref="BH64:BH82" ca="1" si="199">AB7/AB$7</f>
        <v>1</v>
      </c>
      <c r="BI64">
        <f t="shared" ref="BI64:BI82" ca="1" si="200">AC7/AC$7</f>
        <v>1</v>
      </c>
      <c r="BJ64">
        <f t="shared" ref="BJ64:BJ82" ca="1" si="201">AD7/AD$7</f>
        <v>1</v>
      </c>
      <c r="BK64">
        <f t="shared" ref="BK64:BK82" ca="1" si="202">AE7/AE$7</f>
        <v>1</v>
      </c>
      <c r="BL64">
        <f t="shared" ref="BL64:BL82" ca="1" si="203">AF7/AF$7</f>
        <v>1</v>
      </c>
      <c r="BM64">
        <f t="shared" ref="BM64:BM82" ca="1" si="204">AG7/AG$7</f>
        <v>1</v>
      </c>
      <c r="BN64">
        <f t="shared" ref="BN64:BN82" ca="1" si="205">AH7/AH$7</f>
        <v>1</v>
      </c>
      <c r="BO64">
        <f t="shared" ref="BO64:BO82" ca="1" si="206">AI7/AI$7</f>
        <v>1</v>
      </c>
      <c r="BP64">
        <f t="shared" ref="BP64:BP82" ca="1" si="207">AJ7/AJ$7</f>
        <v>1</v>
      </c>
      <c r="BQ64">
        <f t="shared" ref="BQ64:BQ82" ca="1" si="208">AK7/AK$7</f>
        <v>1</v>
      </c>
    </row>
    <row r="65" spans="1:69" x14ac:dyDescent="0.25">
      <c r="B65">
        <f t="shared" si="29"/>
        <v>61</v>
      </c>
      <c r="C65" s="86">
        <v>2017</v>
      </c>
      <c r="D65">
        <v>1766</v>
      </c>
      <c r="E65">
        <v>1622</v>
      </c>
      <c r="F65">
        <v>1840</v>
      </c>
      <c r="G65">
        <v>2682</v>
      </c>
      <c r="H65">
        <v>383</v>
      </c>
      <c r="I65" s="86">
        <v>2017</v>
      </c>
      <c r="J65">
        <v>290</v>
      </c>
      <c r="K65">
        <v>269</v>
      </c>
      <c r="L65">
        <v>324</v>
      </c>
      <c r="M65" s="94" t="s">
        <v>105</v>
      </c>
      <c r="T65" s="69" t="s">
        <v>116</v>
      </c>
      <c r="U65">
        <v>0</v>
      </c>
      <c r="X65">
        <f>X35</f>
        <v>2050</v>
      </c>
      <c r="Y65" s="20">
        <v>2730.0724277777908</v>
      </c>
      <c r="Z65" s="20">
        <v>1004.2634172869958</v>
      </c>
      <c r="AA65" s="20">
        <v>517.21606862645785</v>
      </c>
      <c r="BD65">
        <f t="shared" si="195"/>
        <v>2013</v>
      </c>
      <c r="BE65" s="117">
        <f t="shared" ca="1" si="196"/>
        <v>1.0521564694082246</v>
      </c>
      <c r="BF65" s="117">
        <f t="shared" ca="1" si="197"/>
        <v>1.228486646884273</v>
      </c>
      <c r="BG65" s="117">
        <f t="shared" ca="1" si="198"/>
        <v>1.0536912751677852</v>
      </c>
      <c r="BH65" s="117">
        <f t="shared" ca="1" si="199"/>
        <v>1.2289473684210526</v>
      </c>
      <c r="BI65" s="117">
        <f t="shared" ca="1" si="200"/>
        <v>1.3595505617977528</v>
      </c>
      <c r="BJ65" s="117">
        <f t="shared" ca="1" si="201"/>
        <v>1.5523809523809524</v>
      </c>
      <c r="BK65" s="117">
        <f t="shared" ca="1" si="202"/>
        <v>1.1217532467532467</v>
      </c>
      <c r="BL65" s="117">
        <f t="shared" ca="1" si="203"/>
        <v>1.0640062597809077</v>
      </c>
      <c r="BM65" s="117">
        <f t="shared" ca="1" si="204"/>
        <v>1.0644851741675463</v>
      </c>
      <c r="BN65" s="117">
        <f t="shared" ca="1" si="205"/>
        <v>1.0872240318494391</v>
      </c>
      <c r="BO65" s="117">
        <f t="shared" ca="1" si="206"/>
        <v>1.0770877944325481</v>
      </c>
      <c r="BP65" s="117">
        <f t="shared" ca="1" si="207"/>
        <v>1.0712719298245614</v>
      </c>
      <c r="BQ65" s="117">
        <f t="shared" ca="1" si="208"/>
        <v>1.0560023420413647</v>
      </c>
    </row>
    <row r="66" spans="1:69" x14ac:dyDescent="0.25">
      <c r="B66">
        <f t="shared" si="29"/>
        <v>62</v>
      </c>
      <c r="C66" s="86">
        <v>2018</v>
      </c>
      <c r="D66">
        <v>1819</v>
      </c>
      <c r="E66">
        <v>1666</v>
      </c>
      <c r="F66">
        <v>1901</v>
      </c>
      <c r="G66">
        <v>2723</v>
      </c>
      <c r="H66">
        <v>389</v>
      </c>
      <c r="I66" s="86">
        <v>2018</v>
      </c>
      <c r="J66">
        <v>299</v>
      </c>
      <c r="K66">
        <v>276</v>
      </c>
      <c r="L66">
        <v>335</v>
      </c>
      <c r="M66" s="94" t="s">
        <v>105</v>
      </c>
      <c r="T66" s="69" t="s">
        <v>117</v>
      </c>
      <c r="U66">
        <v>0</v>
      </c>
      <c r="BD66">
        <f t="shared" si="195"/>
        <v>2014</v>
      </c>
      <c r="BE66" s="117">
        <f t="shared" ca="1" si="196"/>
        <v>1.109662320294216</v>
      </c>
      <c r="BF66" s="117">
        <f t="shared" ca="1" si="197"/>
        <v>1.4718100890207715</v>
      </c>
      <c r="BG66" s="117">
        <f t="shared" ca="1" si="198"/>
        <v>1.1208053691275168</v>
      </c>
      <c r="BH66" s="117">
        <f t="shared" ca="1" si="199"/>
        <v>1.45</v>
      </c>
      <c r="BI66" s="117">
        <f t="shared" ca="1" si="200"/>
        <v>1.8202247191011236</v>
      </c>
      <c r="BJ66" s="117">
        <f t="shared" ca="1" si="201"/>
        <v>2.1523809523809523</v>
      </c>
      <c r="BK66" s="117">
        <f t="shared" ca="1" si="202"/>
        <v>1.713474025974026</v>
      </c>
      <c r="BL66" s="117">
        <f t="shared" ca="1" si="203"/>
        <v>1.1338028169014085</v>
      </c>
      <c r="BM66" s="117">
        <f t="shared" ca="1" si="204"/>
        <v>1.128874388254486</v>
      </c>
      <c r="BN66" s="117">
        <f t="shared" ca="1" si="205"/>
        <v>1.1827723488961275</v>
      </c>
      <c r="BO66" s="117">
        <f t="shared" ca="1" si="206"/>
        <v>1.1638115631691648</v>
      </c>
      <c r="BP66" s="117">
        <f t="shared" ca="1" si="207"/>
        <v>1.1447368421052631</v>
      </c>
      <c r="BQ66" s="117">
        <f t="shared" ca="1" si="208"/>
        <v>1.1187380530059068</v>
      </c>
    </row>
    <row r="67" spans="1:69" x14ac:dyDescent="0.25">
      <c r="B67">
        <f t="shared" si="29"/>
        <v>63</v>
      </c>
      <c r="C67" s="86">
        <v>2019</v>
      </c>
      <c r="D67">
        <v>1875</v>
      </c>
      <c r="E67">
        <v>1712</v>
      </c>
      <c r="F67">
        <v>1964</v>
      </c>
      <c r="G67">
        <v>4864</v>
      </c>
      <c r="H67">
        <v>694</v>
      </c>
      <c r="I67" s="86">
        <v>2019</v>
      </c>
      <c r="J67">
        <v>308</v>
      </c>
      <c r="K67">
        <v>284</v>
      </c>
      <c r="L67">
        <v>346</v>
      </c>
      <c r="M67" s="94" t="s">
        <v>105</v>
      </c>
      <c r="T67" s="69" t="s">
        <v>118</v>
      </c>
      <c r="U67">
        <v>0</v>
      </c>
      <c r="BD67">
        <f t="shared" si="195"/>
        <v>2015</v>
      </c>
      <c r="BE67" s="117">
        <f t="shared" ca="1" si="196"/>
        <v>1.2517552657973923</v>
      </c>
      <c r="BF67" s="117">
        <f t="shared" ca="1" si="197"/>
        <v>1.7388724035608309</v>
      </c>
      <c r="BG67" s="117">
        <f t="shared" ca="1" si="198"/>
        <v>1.1812080536912752</v>
      </c>
      <c r="BH67" s="117">
        <f t="shared" ca="1" si="199"/>
        <v>2.0565789473684211</v>
      </c>
      <c r="BI67" s="117">
        <f t="shared" ca="1" si="200"/>
        <v>2.1985018726591758</v>
      </c>
      <c r="BJ67" s="117">
        <f t="shared" ca="1" si="201"/>
        <v>2.5047619047619047</v>
      </c>
      <c r="BK67" s="117">
        <f t="shared" ca="1" si="202"/>
        <v>1.8068181818181819</v>
      </c>
      <c r="BL67" s="117">
        <f t="shared" ca="1" si="203"/>
        <v>1.2098591549295774</v>
      </c>
      <c r="BM67" s="117">
        <f t="shared" ca="1" si="204"/>
        <v>1.197965646291143</v>
      </c>
      <c r="BN67" s="117">
        <f t="shared" ca="1" si="205"/>
        <v>1.2837495475931957</v>
      </c>
      <c r="BO67" s="117">
        <f t="shared" ca="1" si="206"/>
        <v>1.2558886509635974</v>
      </c>
      <c r="BP67" s="117">
        <f t="shared" ca="1" si="207"/>
        <v>1.3541666666666667</v>
      </c>
      <c r="BQ67" s="117">
        <f t="shared" ca="1" si="208"/>
        <v>1.1853140229726704</v>
      </c>
    </row>
    <row r="68" spans="1:69" x14ac:dyDescent="0.25">
      <c r="B68">
        <f t="shared" si="29"/>
        <v>64</v>
      </c>
      <c r="C68" s="86">
        <v>2020</v>
      </c>
      <c r="D68">
        <v>1937</v>
      </c>
      <c r="E68">
        <v>1763</v>
      </c>
      <c r="F68">
        <v>2035</v>
      </c>
      <c r="G68">
        <v>4936</v>
      </c>
      <c r="H68">
        <v>704</v>
      </c>
      <c r="I68" s="86">
        <v>2020</v>
      </c>
      <c r="J68">
        <v>317</v>
      </c>
      <c r="K68">
        <v>291</v>
      </c>
      <c r="L68">
        <v>358</v>
      </c>
      <c r="M68" s="94" t="s">
        <v>105</v>
      </c>
      <c r="N68">
        <f>G68/(G68+D68)</f>
        <v>0.71817255928997525</v>
      </c>
      <c r="T68" s="69" t="s">
        <v>119</v>
      </c>
      <c r="U68">
        <v>0</v>
      </c>
      <c r="BD68">
        <f t="shared" si="195"/>
        <v>2016</v>
      </c>
      <c r="BE68" s="117">
        <f t="shared" ca="1" si="196"/>
        <v>1.4413239719157473</v>
      </c>
      <c r="BF68" s="117">
        <f t="shared" ca="1" si="197"/>
        <v>2.2166172106824926</v>
      </c>
      <c r="BG68" s="117">
        <f t="shared" ca="1" si="198"/>
        <v>1.2550335570469799</v>
      </c>
      <c r="BH68" s="117">
        <f t="shared" ca="1" si="199"/>
        <v>2.2605263157894737</v>
      </c>
      <c r="BI68" s="117">
        <f t="shared" ca="1" si="200"/>
        <v>2.6779026217228465</v>
      </c>
      <c r="BJ68" s="117">
        <f t="shared" ca="1" si="201"/>
        <v>2.657142857142857</v>
      </c>
      <c r="BK68" s="117">
        <f t="shared" ca="1" si="202"/>
        <v>2.3506493506493507</v>
      </c>
      <c r="BL68" s="117">
        <f t="shared" ca="1" si="203"/>
        <v>1.2827856025039124</v>
      </c>
      <c r="BM68" s="117">
        <f t="shared" ca="1" si="204"/>
        <v>1.2716629881969101</v>
      </c>
      <c r="BN68" s="117">
        <f t="shared" ca="1" si="205"/>
        <v>1.3901556279406442</v>
      </c>
      <c r="BO68" s="117">
        <f t="shared" ca="1" si="206"/>
        <v>1.354389721627409</v>
      </c>
      <c r="BP68" s="117">
        <f t="shared" ca="1" si="207"/>
        <v>1.4320175438596492</v>
      </c>
      <c r="BQ68" s="117">
        <f t="shared" ca="1" si="208"/>
        <v>1.2558507981883622</v>
      </c>
    </row>
    <row r="69" spans="1:69" x14ac:dyDescent="0.25">
      <c r="B69">
        <f t="shared" si="29"/>
        <v>65</v>
      </c>
      <c r="C69" s="86">
        <v>2021</v>
      </c>
      <c r="D69">
        <v>2032</v>
      </c>
      <c r="E69">
        <v>1842</v>
      </c>
      <c r="F69">
        <v>2149</v>
      </c>
      <c r="G69">
        <v>5011</v>
      </c>
      <c r="H69">
        <v>715</v>
      </c>
      <c r="I69" s="86">
        <v>2021</v>
      </c>
      <c r="J69">
        <v>333</v>
      </c>
      <c r="K69">
        <v>305</v>
      </c>
      <c r="L69">
        <v>377</v>
      </c>
      <c r="M69" s="94" t="s">
        <v>105</v>
      </c>
      <c r="T69" s="69" t="s">
        <v>120</v>
      </c>
      <c r="U69">
        <v>0</v>
      </c>
      <c r="BD69">
        <f t="shared" si="195"/>
        <v>2017</v>
      </c>
      <c r="BE69" s="117">
        <f t="shared" ca="1" si="196"/>
        <v>1.5165496489468404</v>
      </c>
      <c r="BF69" s="117">
        <f t="shared" ca="1" si="197"/>
        <v>2.2878338278931749</v>
      </c>
      <c r="BG69" s="117">
        <f t="shared" ca="1" si="198"/>
        <v>1.563758389261745</v>
      </c>
      <c r="BH69" s="117">
        <f t="shared" ca="1" si="199"/>
        <v>2.3236842105263156</v>
      </c>
      <c r="BI69" s="117">
        <f t="shared" ca="1" si="200"/>
        <v>2.9550561797752808</v>
      </c>
      <c r="BJ69" s="117">
        <f t="shared" ca="1" si="201"/>
        <v>2.8190476190476192</v>
      </c>
      <c r="BK69" s="117">
        <f t="shared" ca="1" si="202"/>
        <v>2.4326298701298703</v>
      </c>
      <c r="BL69" s="117">
        <f t="shared" ca="1" si="203"/>
        <v>1.3583724569640063</v>
      </c>
      <c r="BM69" s="117">
        <f t="shared" ca="1" si="204"/>
        <v>1.3501583341330006</v>
      </c>
      <c r="BN69" s="117">
        <f t="shared" ca="1" si="205"/>
        <v>1.5023525153818313</v>
      </c>
      <c r="BO69" s="117">
        <f t="shared" ca="1" si="206"/>
        <v>1.4582441113490363</v>
      </c>
      <c r="BP69" s="117">
        <f t="shared" ca="1" si="207"/>
        <v>1.5120614035087718</v>
      </c>
      <c r="BQ69" s="117">
        <f t="shared" ca="1" si="208"/>
        <v>1.3304517040073016</v>
      </c>
    </row>
    <row r="70" spans="1:69" x14ac:dyDescent="0.25">
      <c r="B70">
        <f t="shared" si="29"/>
        <v>66</v>
      </c>
      <c r="C70" s="86">
        <v>2022</v>
      </c>
      <c r="D70">
        <v>2101</v>
      </c>
      <c r="E70">
        <v>1899</v>
      </c>
      <c r="F70">
        <v>2229</v>
      </c>
      <c r="G70">
        <v>5086</v>
      </c>
      <c r="H70">
        <v>726</v>
      </c>
      <c r="I70" s="86">
        <v>2022</v>
      </c>
      <c r="J70">
        <v>344</v>
      </c>
      <c r="K70">
        <v>314</v>
      </c>
      <c r="L70">
        <v>391</v>
      </c>
      <c r="M70" s="94" t="s">
        <v>105</v>
      </c>
      <c r="T70" s="69" t="s">
        <v>121</v>
      </c>
      <c r="U70">
        <v>0</v>
      </c>
      <c r="BD70">
        <f t="shared" si="195"/>
        <v>2018</v>
      </c>
      <c r="BE70" s="117">
        <f t="shared" ca="1" si="196"/>
        <v>1.5961216984286193</v>
      </c>
      <c r="BF70" s="117">
        <f t="shared" ca="1" si="197"/>
        <v>2.3620178041543025</v>
      </c>
      <c r="BG70" s="117">
        <f t="shared" ca="1" si="198"/>
        <v>1.8859060402684564</v>
      </c>
      <c r="BH70" s="117">
        <f t="shared" ca="1" si="199"/>
        <v>2.3934210526315791</v>
      </c>
      <c r="BI70" s="117">
        <f t="shared" ca="1" si="200"/>
        <v>3.101123595505618</v>
      </c>
      <c r="BJ70" s="117">
        <f t="shared" ca="1" si="201"/>
        <v>2.9904761904761905</v>
      </c>
      <c r="BK70" s="117">
        <f t="shared" ca="1" si="202"/>
        <v>2.5592532467532467</v>
      </c>
      <c r="BL70" s="117">
        <f t="shared" ca="1" si="203"/>
        <v>1.4369327073552425</v>
      </c>
      <c r="BM70" s="117">
        <f t="shared" ca="1" si="204"/>
        <v>1.4337395643412341</v>
      </c>
      <c r="BN70" s="117">
        <f t="shared" ca="1" si="205"/>
        <v>1.6207021353601159</v>
      </c>
      <c r="BO70" s="117">
        <f t="shared" ca="1" si="206"/>
        <v>1.5695931477516061</v>
      </c>
      <c r="BP70" s="117">
        <f t="shared" ca="1" si="207"/>
        <v>1.5942982456140351</v>
      </c>
      <c r="BQ70" s="117">
        <f t="shared" ca="1" si="208"/>
        <v>1.4096333672010883</v>
      </c>
    </row>
    <row r="71" spans="1:69" x14ac:dyDescent="0.25">
      <c r="B71">
        <f t="shared" ref="B71:B134" si="209">B70+1</f>
        <v>67</v>
      </c>
      <c r="C71" s="86">
        <v>2023</v>
      </c>
      <c r="D71">
        <v>2170</v>
      </c>
      <c r="E71">
        <v>1955</v>
      </c>
      <c r="F71">
        <v>2309</v>
      </c>
      <c r="G71">
        <v>5162</v>
      </c>
      <c r="H71">
        <v>737</v>
      </c>
      <c r="I71" s="86">
        <v>2023</v>
      </c>
      <c r="J71">
        <v>356</v>
      </c>
      <c r="K71">
        <v>323</v>
      </c>
      <c r="L71">
        <v>406</v>
      </c>
      <c r="M71" s="94" t="s">
        <v>105</v>
      </c>
      <c r="T71" s="69" t="s">
        <v>122</v>
      </c>
      <c r="U71">
        <v>0</v>
      </c>
      <c r="BD71">
        <f t="shared" si="195"/>
        <v>2019</v>
      </c>
      <c r="BE71" s="117">
        <f t="shared" ca="1" si="196"/>
        <v>1.6803744567034438</v>
      </c>
      <c r="BF71" s="117">
        <f t="shared" ca="1" si="197"/>
        <v>2.4362017804154301</v>
      </c>
      <c r="BG71" s="117">
        <f t="shared" ca="1" si="198"/>
        <v>2.2281879194630871</v>
      </c>
      <c r="BH71" s="117">
        <f t="shared" ca="1" si="199"/>
        <v>2.4671052631578947</v>
      </c>
      <c r="BI71" s="117">
        <f t="shared" ca="1" si="200"/>
        <v>3.2509363295880149</v>
      </c>
      <c r="BJ71" s="117">
        <f t="shared" ca="1" si="201"/>
        <v>3.1809523809523808</v>
      </c>
      <c r="BK71" s="117">
        <f t="shared" ca="1" si="202"/>
        <v>2.6363636363636362</v>
      </c>
      <c r="BL71" s="117">
        <f t="shared" ca="1" si="203"/>
        <v>1.5184663536776213</v>
      </c>
      <c r="BM71" s="117">
        <f t="shared" ca="1" si="204"/>
        <v>1.5227905191440361</v>
      </c>
      <c r="BN71" s="117">
        <f t="shared" ca="1" si="205"/>
        <v>1.7452044878754978</v>
      </c>
      <c r="BO71" s="117">
        <f t="shared" ca="1" si="206"/>
        <v>1.6873661670235547</v>
      </c>
      <c r="BP71" s="117">
        <f t="shared" ca="1" si="207"/>
        <v>1.6776315789473684</v>
      </c>
      <c r="BQ71" s="117">
        <f t="shared" ca="1" si="208"/>
        <v>1.4933441250925623</v>
      </c>
    </row>
    <row r="72" spans="1:69" x14ac:dyDescent="0.25">
      <c r="B72">
        <f t="shared" si="209"/>
        <v>68</v>
      </c>
      <c r="C72" s="86">
        <v>2024</v>
      </c>
      <c r="D72">
        <v>2238</v>
      </c>
      <c r="E72">
        <v>2012</v>
      </c>
      <c r="F72">
        <v>2390</v>
      </c>
      <c r="G72">
        <v>5239</v>
      </c>
      <c r="H72">
        <v>748</v>
      </c>
      <c r="I72" s="86">
        <v>2024</v>
      </c>
      <c r="J72">
        <v>367</v>
      </c>
      <c r="K72">
        <v>332</v>
      </c>
      <c r="L72">
        <v>420</v>
      </c>
      <c r="M72" s="94" t="s">
        <v>105</v>
      </c>
      <c r="T72" s="69" t="s">
        <v>123</v>
      </c>
      <c r="U72">
        <v>0</v>
      </c>
      <c r="BD72">
        <f t="shared" si="195"/>
        <v>2020</v>
      </c>
      <c r="BE72" s="117">
        <f t="shared" ca="1" si="196"/>
        <v>1.7739886325643597</v>
      </c>
      <c r="BF72" s="117">
        <f t="shared" ca="1" si="197"/>
        <v>2.513353115727003</v>
      </c>
      <c r="BG72" s="117">
        <f t="shared" ca="1" si="198"/>
        <v>2.5838926174496644</v>
      </c>
      <c r="BH72" s="117">
        <f t="shared" ca="1" si="199"/>
        <v>2.5486842105263157</v>
      </c>
      <c r="BI72" s="117">
        <f t="shared" ca="1" si="200"/>
        <v>3.3970037453183521</v>
      </c>
      <c r="BJ72" s="117">
        <f t="shared" ca="1" si="201"/>
        <v>3.3809523809523809</v>
      </c>
      <c r="BK72" s="117">
        <f t="shared" ca="1" si="202"/>
        <v>2.758116883116883</v>
      </c>
      <c r="BL72" s="117">
        <f t="shared" ca="1" si="203"/>
        <v>1.603129890453834</v>
      </c>
      <c r="BM72" s="117">
        <f t="shared" ca="1" si="204"/>
        <v>1.6175990787832262</v>
      </c>
      <c r="BN72" s="117">
        <f t="shared" ca="1" si="205"/>
        <v>1.8765834238146941</v>
      </c>
      <c r="BO72" s="117">
        <f t="shared" ca="1" si="206"/>
        <v>1.8137044967880085</v>
      </c>
      <c r="BP72" s="117">
        <f t="shared" ca="1" si="207"/>
        <v>1.7642543859649122</v>
      </c>
      <c r="BQ72" s="117">
        <f t="shared" ca="1" si="208"/>
        <v>1.5821350462380961</v>
      </c>
    </row>
    <row r="73" spans="1:69" x14ac:dyDescent="0.25">
      <c r="B73">
        <f t="shared" si="209"/>
        <v>69</v>
      </c>
      <c r="C73" s="86">
        <v>2025</v>
      </c>
      <c r="D73">
        <v>2308</v>
      </c>
      <c r="E73">
        <v>2067</v>
      </c>
      <c r="F73">
        <v>2471</v>
      </c>
      <c r="G73">
        <v>5318</v>
      </c>
      <c r="H73">
        <v>759</v>
      </c>
      <c r="I73" s="86">
        <v>2025</v>
      </c>
      <c r="J73">
        <v>378</v>
      </c>
      <c r="K73">
        <v>342</v>
      </c>
      <c r="L73">
        <v>434</v>
      </c>
      <c r="M73" s="94" t="s">
        <v>105</v>
      </c>
      <c r="N73">
        <f>G73/(G73+D73)</f>
        <v>0.69735116706005773</v>
      </c>
      <c r="T73" s="69" t="s">
        <v>124</v>
      </c>
      <c r="U73">
        <v>0</v>
      </c>
      <c r="BD73">
        <f t="shared" si="195"/>
        <v>2021</v>
      </c>
      <c r="BE73" s="117">
        <f t="shared" ca="1" si="196"/>
        <v>1.8803075894349717</v>
      </c>
      <c r="BF73" s="117">
        <f t="shared" ca="1" si="197"/>
        <v>2.6083086053412461</v>
      </c>
      <c r="BG73" s="117">
        <f t="shared" ca="1" si="198"/>
        <v>2.9597315436241609</v>
      </c>
      <c r="BH73" s="117">
        <f t="shared" ca="1" si="199"/>
        <v>2.6736842105263157</v>
      </c>
      <c r="BI73" s="117">
        <f t="shared" ca="1" si="200"/>
        <v>3.5842696629213484</v>
      </c>
      <c r="BJ73" s="117">
        <f t="shared" ca="1" si="201"/>
        <v>3.6</v>
      </c>
      <c r="BK73" s="117">
        <f t="shared" ca="1" si="202"/>
        <v>2.8952922077922079</v>
      </c>
      <c r="BL73" s="117">
        <f t="shared" ca="1" si="203"/>
        <v>1.6912363067292644</v>
      </c>
      <c r="BM73" s="117">
        <f t="shared" ca="1" si="204"/>
        <v>1.7184531235006237</v>
      </c>
      <c r="BN73" s="117">
        <f t="shared" ca="1" si="205"/>
        <v>2.0148389431777054</v>
      </c>
      <c r="BO73" s="117">
        <f t="shared" ca="1" si="206"/>
        <v>1.9486081370449679</v>
      </c>
      <c r="BP73" s="117">
        <f t="shared" ca="1" si="207"/>
        <v>1.8541666666666667</v>
      </c>
      <c r="BQ73" s="117">
        <f t="shared" ca="1" si="208"/>
        <v>1.7002531471180837</v>
      </c>
    </row>
    <row r="74" spans="1:69" x14ac:dyDescent="0.25">
      <c r="B74">
        <f t="shared" si="209"/>
        <v>70</v>
      </c>
      <c r="BD74">
        <f t="shared" si="195"/>
        <v>2022</v>
      </c>
      <c r="BE74" s="117">
        <f t="shared" ca="1" si="196"/>
        <v>1.9836175192243397</v>
      </c>
      <c r="BF74" s="117">
        <f t="shared" ca="1" si="197"/>
        <v>2.7062314540059349</v>
      </c>
      <c r="BG74" s="117">
        <f t="shared" ca="1" si="198"/>
        <v>3.1208053691275168</v>
      </c>
      <c r="BH74" s="117">
        <f t="shared" ca="1" si="199"/>
        <v>2.7644736842105262</v>
      </c>
      <c r="BI74" s="117">
        <f t="shared" ca="1" si="200"/>
        <v>3.7715355805243447</v>
      </c>
      <c r="BJ74" s="117">
        <f t="shared" ca="1" si="201"/>
        <v>3.8285714285714287</v>
      </c>
      <c r="BK74" s="117">
        <f t="shared" ca="1" si="202"/>
        <v>3.0357142857142856</v>
      </c>
      <c r="BL74" s="117">
        <f t="shared" ca="1" si="203"/>
        <v>1.7826291079812207</v>
      </c>
      <c r="BM74" s="117">
        <f t="shared" ca="1" si="204"/>
        <v>1.8258324536992612</v>
      </c>
      <c r="BN74" s="117">
        <f t="shared" ca="1" si="205"/>
        <v>2.1610568222946074</v>
      </c>
      <c r="BO74" s="117">
        <f t="shared" ca="1" si="206"/>
        <v>2.0910064239828694</v>
      </c>
      <c r="BP74" s="117">
        <f t="shared" ca="1" si="207"/>
        <v>1.9451754385964912</v>
      </c>
      <c r="BQ74" s="117">
        <f t="shared" ca="1" si="208"/>
        <v>1.8013742272124542</v>
      </c>
    </row>
    <row r="75" spans="1:69" ht="45" x14ac:dyDescent="0.25">
      <c r="A75" s="103" t="s">
        <v>489</v>
      </c>
      <c r="B75">
        <f t="shared" si="209"/>
        <v>71</v>
      </c>
      <c r="C75" s="75" t="s">
        <v>105</v>
      </c>
      <c r="D75" s="109" t="s">
        <v>493</v>
      </c>
      <c r="E75" s="109" t="s">
        <v>494</v>
      </c>
      <c r="F75" s="76" t="s">
        <v>152</v>
      </c>
      <c r="G75" s="110" t="s">
        <v>495</v>
      </c>
      <c r="H75" s="110" t="s">
        <v>496</v>
      </c>
      <c r="I75" s="75" t="s">
        <v>105</v>
      </c>
      <c r="J75" s="76" t="s">
        <v>150</v>
      </c>
      <c r="K75" s="76" t="s">
        <v>151</v>
      </c>
      <c r="L75" s="76" t="s">
        <v>152</v>
      </c>
      <c r="N75" s="71" t="s">
        <v>148</v>
      </c>
      <c r="O75" s="71" t="s">
        <v>149</v>
      </c>
      <c r="P75" s="71" t="s">
        <v>160</v>
      </c>
      <c r="Q75" s="71" t="s">
        <v>156</v>
      </c>
      <c r="R75" s="71" t="s">
        <v>159</v>
      </c>
      <c r="T75" s="78" t="s">
        <v>154</v>
      </c>
      <c r="U75" s="71"/>
      <c r="BD75">
        <f t="shared" si="195"/>
        <v>2023</v>
      </c>
      <c r="BE75" s="117">
        <f t="shared" ca="1" si="196"/>
        <v>2.0932798395185555</v>
      </c>
      <c r="BF75" s="117">
        <f t="shared" ca="1" si="197"/>
        <v>2.8041543026706233</v>
      </c>
      <c r="BG75" s="117">
        <f t="shared" ca="1" si="198"/>
        <v>3.2953020134228188</v>
      </c>
      <c r="BH75" s="117">
        <f t="shared" ca="1" si="199"/>
        <v>2.8552631578947367</v>
      </c>
      <c r="BI75" s="117">
        <f t="shared" ca="1" si="200"/>
        <v>3.9588014981273409</v>
      </c>
      <c r="BJ75" s="117">
        <f t="shared" ca="1" si="201"/>
        <v>4.0761904761904759</v>
      </c>
      <c r="BK75" s="117">
        <f t="shared" ca="1" si="202"/>
        <v>3.1785714285714284</v>
      </c>
      <c r="BL75" s="117">
        <f t="shared" ca="1" si="203"/>
        <v>1.877621283255086</v>
      </c>
      <c r="BM75" s="117">
        <f t="shared" ca="1" si="204"/>
        <v>1.9401209097015641</v>
      </c>
      <c r="BN75" s="117">
        <f t="shared" ca="1" si="205"/>
        <v>2.3145132102786827</v>
      </c>
      <c r="BO75" s="117">
        <f t="shared" ca="1" si="206"/>
        <v>2.2430406852248392</v>
      </c>
      <c r="BP75" s="117">
        <f t="shared" ca="1" si="207"/>
        <v>2.0394736842105261</v>
      </c>
      <c r="BQ75" s="117">
        <f t="shared" ca="1" si="208"/>
        <v>1.9084365151802167</v>
      </c>
    </row>
    <row r="76" spans="1:69" x14ac:dyDescent="0.25">
      <c r="A76" s="108" t="s">
        <v>85</v>
      </c>
      <c r="B76">
        <f t="shared" si="209"/>
        <v>72</v>
      </c>
      <c r="C76" s="68" t="s">
        <v>105</v>
      </c>
      <c r="D76" s="69" t="s">
        <v>109</v>
      </c>
      <c r="E76" s="69" t="s">
        <v>109</v>
      </c>
      <c r="F76" s="69" t="s">
        <v>109</v>
      </c>
      <c r="G76" s="69" t="s">
        <v>109</v>
      </c>
      <c r="I76" s="68" t="s">
        <v>105</v>
      </c>
      <c r="J76" s="69" t="s">
        <v>125</v>
      </c>
      <c r="K76" s="69" t="s">
        <v>125</v>
      </c>
      <c r="L76" s="69" t="s">
        <v>125</v>
      </c>
      <c r="N76" s="69" t="s">
        <v>109</v>
      </c>
      <c r="O76" s="69" t="s">
        <v>125</v>
      </c>
      <c r="P76" s="69" t="s">
        <v>11</v>
      </c>
      <c r="Q76" s="69" t="s">
        <v>157</v>
      </c>
      <c r="R76" s="69" t="s">
        <v>157</v>
      </c>
      <c r="T76" s="69"/>
      <c r="U76" s="69" t="s">
        <v>157</v>
      </c>
      <c r="BD76">
        <f t="shared" si="195"/>
        <v>2024</v>
      </c>
      <c r="BE76" s="117">
        <f t="shared" ca="1" si="196"/>
        <v>2.210297559344701</v>
      </c>
      <c r="BF76" s="117">
        <f t="shared" ca="1" si="197"/>
        <v>2.9080118694362018</v>
      </c>
      <c r="BG76" s="117">
        <f t="shared" ca="1" si="198"/>
        <v>3.4697986577181208</v>
      </c>
      <c r="BH76" s="117">
        <f t="shared" ca="1" si="199"/>
        <v>2.9447368421052631</v>
      </c>
      <c r="BI76" s="117">
        <f t="shared" ca="1" si="200"/>
        <v>4.1460674157303368</v>
      </c>
      <c r="BJ76" s="117">
        <f t="shared" ca="1" si="201"/>
        <v>4.333333333333333</v>
      </c>
      <c r="BK76" s="117">
        <f t="shared" ca="1" si="202"/>
        <v>3.3254870129870131</v>
      </c>
      <c r="BL76" s="117">
        <f t="shared" ca="1" si="203"/>
        <v>1.9762128325508608</v>
      </c>
      <c r="BM76" s="117">
        <f t="shared" ca="1" si="204"/>
        <v>2.0617023318299585</v>
      </c>
      <c r="BN76" s="117">
        <f t="shared" ca="1" si="205"/>
        <v>2.4762938834600075</v>
      </c>
      <c r="BO76" s="117">
        <f t="shared" ca="1" si="206"/>
        <v>2.4057815845824413</v>
      </c>
      <c r="BP76" s="117">
        <f t="shared" ca="1" si="207"/>
        <v>2.1359649122807016</v>
      </c>
      <c r="BQ76" s="117">
        <f t="shared" ca="1" si="208"/>
        <v>2.021939416900584</v>
      </c>
    </row>
    <row r="77" spans="1:69" x14ac:dyDescent="0.25">
      <c r="A77" t="s">
        <v>86</v>
      </c>
      <c r="B77">
        <f t="shared" si="209"/>
        <v>73</v>
      </c>
      <c r="C77" s="86">
        <v>2011</v>
      </c>
      <c r="D77">
        <v>202</v>
      </c>
      <c r="E77">
        <v>162</v>
      </c>
      <c r="F77">
        <v>253</v>
      </c>
      <c r="G77">
        <v>350</v>
      </c>
      <c r="H77">
        <v>0</v>
      </c>
      <c r="I77" s="86">
        <v>2011</v>
      </c>
      <c r="J77">
        <v>38</v>
      </c>
      <c r="K77">
        <v>30</v>
      </c>
      <c r="L77">
        <v>48</v>
      </c>
      <c r="M77" s="97">
        <f>N77/(O77*8.76)</f>
        <v>0.48666186012977652</v>
      </c>
      <c r="N77">
        <f>E77</f>
        <v>162</v>
      </c>
      <c r="O77">
        <f>J77</f>
        <v>38</v>
      </c>
      <c r="P77" s="104"/>
      <c r="Q77">
        <v>0</v>
      </c>
      <c r="R77">
        <v>0</v>
      </c>
      <c r="T77" s="69" t="s">
        <v>110</v>
      </c>
      <c r="U77">
        <v>0</v>
      </c>
      <c r="BD77">
        <f t="shared" si="195"/>
        <v>2025</v>
      </c>
      <c r="BE77" s="117">
        <f t="shared" ca="1" si="196"/>
        <v>2.3346706787027749</v>
      </c>
      <c r="BF77" s="117">
        <f t="shared" ca="1" si="197"/>
        <v>3.0178041543026706</v>
      </c>
      <c r="BG77" s="117">
        <f t="shared" ca="1" si="198"/>
        <v>3.6577181208053693</v>
      </c>
      <c r="BH77" s="117">
        <f t="shared" ca="1" si="199"/>
        <v>3.0368421052631578</v>
      </c>
      <c r="BI77" s="117">
        <f t="shared" ca="1" si="200"/>
        <v>4.333333333333333</v>
      </c>
      <c r="BJ77" s="117">
        <f t="shared" ca="1" si="201"/>
        <v>4.6095238095238091</v>
      </c>
      <c r="BK77" s="117">
        <f t="shared" ca="1" si="202"/>
        <v>3.4756493506493507</v>
      </c>
      <c r="BL77" s="117">
        <f t="shared" ca="1" si="203"/>
        <v>2.0788732394366196</v>
      </c>
      <c r="BM77" s="117">
        <f t="shared" ca="1" si="204"/>
        <v>2.1909605604068707</v>
      </c>
      <c r="BN77" s="117">
        <f t="shared" ca="1" si="205"/>
        <v>2.6471226927252984</v>
      </c>
      <c r="BO77" s="117">
        <f t="shared" ca="1" si="206"/>
        <v>2.5781584582441113</v>
      </c>
      <c r="BP77" s="117">
        <f t="shared" ca="1" si="207"/>
        <v>2.2357456140350878</v>
      </c>
      <c r="BQ77" s="117">
        <f t="shared" ca="1" si="208"/>
        <v>2.1421584666517419</v>
      </c>
    </row>
    <row r="78" spans="1:69" x14ac:dyDescent="0.25">
      <c r="B78">
        <f t="shared" si="209"/>
        <v>74</v>
      </c>
      <c r="C78" s="86">
        <v>2012</v>
      </c>
      <c r="D78">
        <v>267</v>
      </c>
      <c r="E78">
        <v>214</v>
      </c>
      <c r="F78">
        <v>334</v>
      </c>
      <c r="G78">
        <v>350</v>
      </c>
      <c r="H78">
        <v>0</v>
      </c>
      <c r="I78" s="86">
        <v>2012</v>
      </c>
      <c r="J78">
        <v>50</v>
      </c>
      <c r="K78">
        <v>40</v>
      </c>
      <c r="L78">
        <v>63</v>
      </c>
      <c r="P78" t="s">
        <v>488</v>
      </c>
      <c r="T78" s="69" t="s">
        <v>111</v>
      </c>
      <c r="U78">
        <v>0</v>
      </c>
      <c r="BD78">
        <f t="shared" si="195"/>
        <v>2026</v>
      </c>
      <c r="BE78" s="117">
        <f t="shared" ca="1" si="196"/>
        <v>2.462041717319186</v>
      </c>
      <c r="BF78" s="117">
        <f t="shared" ca="1" si="197"/>
        <v>3.1297436105081684</v>
      </c>
      <c r="BG78" s="117">
        <f t="shared" ca="1" si="198"/>
        <v>3.8531291561559033</v>
      </c>
      <c r="BH78" s="117">
        <f t="shared" ca="1" si="199"/>
        <v>3.1278495305657099</v>
      </c>
      <c r="BI78" s="117">
        <f t="shared" ca="1" si="200"/>
        <v>4.5183478651843005</v>
      </c>
      <c r="BJ78" s="117">
        <f t="shared" ca="1" si="201"/>
        <v>4.8994258784115905</v>
      </c>
      <c r="BK78" s="117">
        <f t="shared" ca="1" si="202"/>
        <v>3.6282373264357295</v>
      </c>
      <c r="BL78" s="117">
        <f t="shared" ca="1" si="203"/>
        <v>2.18506800702318</v>
      </c>
      <c r="BM78" s="117">
        <f t="shared" ca="1" si="204"/>
        <v>2.3285981082331242</v>
      </c>
      <c r="BN78" s="117">
        <f t="shared" ca="1" si="205"/>
        <v>2.8261026582087219</v>
      </c>
      <c r="BO78" s="117">
        <f t="shared" ca="1" si="206"/>
        <v>2.7614131729611859</v>
      </c>
      <c r="BP78" s="117">
        <f t="shared" ca="1" si="207"/>
        <v>2.3373144409012596</v>
      </c>
      <c r="BQ78" s="117">
        <f t="shared" ca="1" si="208"/>
        <v>2.2565054691075015</v>
      </c>
    </row>
    <row r="79" spans="1:69" x14ac:dyDescent="0.25">
      <c r="B79">
        <f t="shared" si="209"/>
        <v>75</v>
      </c>
      <c r="C79" s="86">
        <v>2013</v>
      </c>
      <c r="D79">
        <v>363</v>
      </c>
      <c r="E79">
        <v>291</v>
      </c>
      <c r="F79">
        <v>454</v>
      </c>
      <c r="G79">
        <v>631</v>
      </c>
      <c r="H79">
        <v>0</v>
      </c>
      <c r="I79" s="86">
        <v>2013</v>
      </c>
      <c r="J79">
        <v>68</v>
      </c>
      <c r="K79">
        <v>54</v>
      </c>
      <c r="L79">
        <v>85</v>
      </c>
      <c r="P79" s="94">
        <f ca="1">INDIRECT(A77&amp;"!c10")</f>
        <v>0.15</v>
      </c>
      <c r="T79" s="69" t="s">
        <v>112</v>
      </c>
      <c r="U79">
        <v>0</v>
      </c>
      <c r="BD79">
        <f t="shared" si="195"/>
        <v>2027</v>
      </c>
      <c r="BE79" s="117">
        <f t="shared" ca="1" si="196"/>
        <v>2.5947942940736732</v>
      </c>
      <c r="BF79" s="117">
        <f t="shared" ca="1" si="197"/>
        <v>3.2456611548972316</v>
      </c>
      <c r="BG79" s="117">
        <f t="shared" ca="1" si="198"/>
        <v>4.057534848316747</v>
      </c>
      <c r="BH79" s="117">
        <f t="shared" ca="1" si="199"/>
        <v>3.218599841201252</v>
      </c>
      <c r="BI79" s="117">
        <f t="shared" ca="1" si="200"/>
        <v>4.7006041972456405</v>
      </c>
      <c r="BJ79" s="117">
        <f t="shared" ca="1" si="201"/>
        <v>5.2052568664164598</v>
      </c>
      <c r="BK79" s="117">
        <f t="shared" ca="1" si="202"/>
        <v>3.7833735891730251</v>
      </c>
      <c r="BL79" s="117">
        <f t="shared" ca="1" si="203"/>
        <v>2.2950373000861108</v>
      </c>
      <c r="BM79" s="117">
        <f t="shared" ca="1" si="204"/>
        <v>2.4750858235274102</v>
      </c>
      <c r="BN79" s="117">
        <f t="shared" ca="1" si="205"/>
        <v>3.0137788536180357</v>
      </c>
      <c r="BO79" s="117">
        <f t="shared" ca="1" si="206"/>
        <v>2.9560418723454607</v>
      </c>
      <c r="BP79" s="117">
        <f t="shared" ca="1" si="207"/>
        <v>2.4410972877582733</v>
      </c>
      <c r="BQ79" s="117">
        <f t="shared" ca="1" si="208"/>
        <v>2.3700964469065653</v>
      </c>
    </row>
    <row r="80" spans="1:69" x14ac:dyDescent="0.25">
      <c r="B80">
        <f t="shared" si="209"/>
        <v>76</v>
      </c>
      <c r="C80" s="86">
        <v>2014</v>
      </c>
      <c r="D80">
        <v>486</v>
      </c>
      <c r="E80">
        <v>389</v>
      </c>
      <c r="F80">
        <v>608</v>
      </c>
      <c r="G80">
        <v>911</v>
      </c>
      <c r="H80">
        <v>0</v>
      </c>
      <c r="I80" s="86">
        <v>2014</v>
      </c>
      <c r="J80">
        <v>91</v>
      </c>
      <c r="K80">
        <v>73</v>
      </c>
      <c r="L80">
        <v>114</v>
      </c>
      <c r="T80" s="69" t="s">
        <v>113</v>
      </c>
      <c r="U80">
        <v>0</v>
      </c>
      <c r="BD80">
        <f t="shared" si="195"/>
        <v>2028</v>
      </c>
      <c r="BE80" s="117">
        <f t="shared" ca="1" si="196"/>
        <v>2.733052983018339</v>
      </c>
      <c r="BF80" s="117">
        <f t="shared" ca="1" si="197"/>
        <v>3.3656914515363052</v>
      </c>
      <c r="BG80" s="117">
        <f t="shared" ca="1" si="198"/>
        <v>4.2712624137761113</v>
      </c>
      <c r="BH80" s="117">
        <f t="shared" ca="1" si="199"/>
        <v>3.308912155063175</v>
      </c>
      <c r="BI80" s="117">
        <f t="shared" ca="1" si="200"/>
        <v>4.8791247830359445</v>
      </c>
      <c r="BJ80" s="117">
        <f t="shared" ca="1" si="201"/>
        <v>5.5277309856233279</v>
      </c>
      <c r="BK80" s="117">
        <f t="shared" ca="1" si="202"/>
        <v>3.9408150681860405</v>
      </c>
      <c r="BL80" s="117">
        <f t="shared" ca="1" si="203"/>
        <v>2.4088078302487661</v>
      </c>
      <c r="BM80" s="117">
        <f t="shared" ca="1" si="204"/>
        <v>2.6310053067963457</v>
      </c>
      <c r="BN80" s="117">
        <f t="shared" ca="1" si="205"/>
        <v>3.2102869985165268</v>
      </c>
      <c r="BO80" s="117">
        <f t="shared" ca="1" si="206"/>
        <v>3.1626201863522918</v>
      </c>
      <c r="BP80" s="117">
        <f t="shared" ca="1" si="207"/>
        <v>2.5469815860116367</v>
      </c>
      <c r="BQ80" s="117">
        <f t="shared" ca="1" si="208"/>
        <v>2.4822004092561825</v>
      </c>
    </row>
    <row r="81" spans="1:69" x14ac:dyDescent="0.25">
      <c r="B81">
        <f t="shared" si="209"/>
        <v>77</v>
      </c>
      <c r="C81" s="86">
        <v>2015</v>
      </c>
      <c r="D81">
        <v>587</v>
      </c>
      <c r="E81">
        <v>470</v>
      </c>
      <c r="F81">
        <v>734</v>
      </c>
      <c r="G81">
        <v>911</v>
      </c>
      <c r="H81">
        <v>0</v>
      </c>
      <c r="I81" s="86">
        <v>2015</v>
      </c>
      <c r="J81">
        <v>110</v>
      </c>
      <c r="K81">
        <v>88</v>
      </c>
      <c r="L81">
        <v>138</v>
      </c>
      <c r="T81" s="69" t="s">
        <v>114</v>
      </c>
      <c r="U81">
        <v>0</v>
      </c>
      <c r="BD81">
        <f t="shared" si="195"/>
        <v>2029</v>
      </c>
      <c r="BE81" s="117">
        <f t="shared" ca="1" si="196"/>
        <v>2.876938638792164</v>
      </c>
      <c r="BF81" s="117">
        <f t="shared" ca="1" si="197"/>
        <v>3.4899734733048913</v>
      </c>
      <c r="BG81" s="117">
        <f t="shared" ca="1" si="198"/>
        <v>4.4946460623720066</v>
      </c>
      <c r="BH81" s="117">
        <f t="shared" ca="1" si="199"/>
        <v>3.3986014231394894</v>
      </c>
      <c r="BI81" s="117">
        <f t="shared" ca="1" si="200"/>
        <v>5.0529167738189544</v>
      </c>
      <c r="BJ81" s="117">
        <f t="shared" ca="1" si="201"/>
        <v>5.8675838906956548</v>
      </c>
      <c r="BK81" s="117">
        <f t="shared" ca="1" si="202"/>
        <v>4.1003001101451844</v>
      </c>
      <c r="BL81" s="117">
        <f t="shared" ca="1" si="203"/>
        <v>2.5263990613360958</v>
      </c>
      <c r="BM81" s="117">
        <f t="shared" ca="1" si="204"/>
        <v>2.7969771701259547</v>
      </c>
      <c r="BN81" s="117">
        <f t="shared" ca="1" si="205"/>
        <v>3.4157400642604561</v>
      </c>
      <c r="BO81" s="117">
        <f t="shared" ca="1" si="206"/>
        <v>3.3817432180050733</v>
      </c>
      <c r="BP81" s="117">
        <f t="shared" ca="1" si="207"/>
        <v>2.6548431791522571</v>
      </c>
      <c r="BQ81" s="117">
        <f t="shared" ca="1" si="208"/>
        <v>2.5920609071698144</v>
      </c>
    </row>
    <row r="82" spans="1:69" x14ac:dyDescent="0.25">
      <c r="B82">
        <f t="shared" si="209"/>
        <v>78</v>
      </c>
      <c r="C82" s="86">
        <v>2016</v>
      </c>
      <c r="D82">
        <v>715</v>
      </c>
      <c r="E82">
        <v>572</v>
      </c>
      <c r="F82">
        <v>894</v>
      </c>
      <c r="G82">
        <v>1612</v>
      </c>
      <c r="H82">
        <v>0</v>
      </c>
      <c r="I82" s="86">
        <v>2016</v>
      </c>
      <c r="J82">
        <v>134</v>
      </c>
      <c r="K82">
        <v>107</v>
      </c>
      <c r="L82">
        <v>168</v>
      </c>
      <c r="T82" s="69" t="s">
        <v>115</v>
      </c>
      <c r="U82">
        <v>0</v>
      </c>
      <c r="BD82">
        <f t="shared" si="195"/>
        <v>2030</v>
      </c>
      <c r="BE82" s="117">
        <f t="shared" ca="1" si="196"/>
        <v>3.0083248527998898</v>
      </c>
      <c r="BF82" s="117">
        <f t="shared" ca="1" si="197"/>
        <v>3.6167101010694607</v>
      </c>
      <c r="BG82" s="117">
        <f t="shared" ca="1" si="198"/>
        <v>4.7112095600438799</v>
      </c>
      <c r="BH82" s="117">
        <f t="shared" ca="1" si="199"/>
        <v>3.4552466148095911</v>
      </c>
      <c r="BI82" s="117">
        <f t="shared" ca="1" si="200"/>
        <v>5.1035435465464865</v>
      </c>
      <c r="BJ82" s="117">
        <f t="shared" ca="1" si="201"/>
        <v>6.1980639136339084</v>
      </c>
      <c r="BK82" s="117">
        <f t="shared" ca="1" si="202"/>
        <v>4.2149758604247989</v>
      </c>
      <c r="BL82" s="117">
        <f t="shared" ca="1" si="203"/>
        <v>2.6288319449626063</v>
      </c>
      <c r="BM82" s="117">
        <f t="shared" ca="1" si="204"/>
        <v>2.9761116014169962</v>
      </c>
      <c r="BN82" s="117">
        <f t="shared" ca="1" si="205"/>
        <v>3.5893716767683803</v>
      </c>
      <c r="BO82" s="117">
        <f t="shared" ca="1" si="206"/>
        <v>3.5938714003592294</v>
      </c>
      <c r="BP82" s="117">
        <f t="shared" ca="1" si="207"/>
        <v>2.7374573959213322</v>
      </c>
      <c r="BQ82" s="117">
        <f t="shared" ca="1" si="208"/>
        <v>2.6215772914258793</v>
      </c>
    </row>
    <row r="83" spans="1:69" x14ac:dyDescent="0.25">
      <c r="B83">
        <f t="shared" si="209"/>
        <v>79</v>
      </c>
      <c r="C83" s="86">
        <v>2017</v>
      </c>
      <c r="D83">
        <v>789</v>
      </c>
      <c r="E83">
        <v>631</v>
      </c>
      <c r="F83">
        <v>986</v>
      </c>
      <c r="G83">
        <v>2313</v>
      </c>
      <c r="H83">
        <v>0</v>
      </c>
      <c r="I83" s="86">
        <v>2017</v>
      </c>
      <c r="J83">
        <v>148</v>
      </c>
      <c r="K83">
        <v>118</v>
      </c>
      <c r="L83">
        <v>185</v>
      </c>
      <c r="T83" s="69" t="s">
        <v>116</v>
      </c>
      <c r="U83">
        <v>0</v>
      </c>
    </row>
    <row r="84" spans="1:69" x14ac:dyDescent="0.25">
      <c r="B84">
        <f t="shared" si="209"/>
        <v>80</v>
      </c>
      <c r="C84" s="86">
        <v>2018</v>
      </c>
      <c r="D84">
        <v>828</v>
      </c>
      <c r="E84">
        <v>663</v>
      </c>
      <c r="F84">
        <v>1036</v>
      </c>
      <c r="G84">
        <v>3013</v>
      </c>
      <c r="H84">
        <v>0</v>
      </c>
      <c r="I84" s="86">
        <v>2018</v>
      </c>
      <c r="J84">
        <v>155</v>
      </c>
      <c r="K84">
        <v>124</v>
      </c>
      <c r="L84">
        <v>194</v>
      </c>
      <c r="T84" s="69" t="s">
        <v>117</v>
      </c>
      <c r="U84">
        <v>0</v>
      </c>
      <c r="BC84" t="s">
        <v>556</v>
      </c>
      <c r="BD84">
        <f t="shared" ref="BD84:BD102" si="210">BS42</f>
        <v>2012</v>
      </c>
      <c r="BE84" s="87">
        <f t="shared" ref="BE84:BE102" ca="1" si="211">BT42/BT$42</f>
        <v>1</v>
      </c>
      <c r="BF84" s="87">
        <f t="shared" ref="BF84:BF102" ca="1" si="212">BU42/BU$42</f>
        <v>1</v>
      </c>
      <c r="BG84" s="87">
        <f t="shared" ref="BG84:BG102" ca="1" si="213">BV42/BV$42</f>
        <v>1</v>
      </c>
      <c r="BH84" s="87">
        <f t="shared" ref="BH84:BH102" ca="1" si="214">BW42/BW$42</f>
        <v>1</v>
      </c>
      <c r="BI84" s="87">
        <f t="shared" ref="BI84:BI102" ca="1" si="215">BX42/BX$42</f>
        <v>1</v>
      </c>
      <c r="BJ84" s="87">
        <f t="shared" ref="BJ84:BJ102" ca="1" si="216">BY42/BY$42</f>
        <v>1</v>
      </c>
      <c r="BK84" s="87">
        <f t="shared" ref="BK84:BK102" ca="1" si="217">BZ42/BZ$42</f>
        <v>1</v>
      </c>
      <c r="BL84" s="87">
        <f t="shared" ref="BL84:BL102" ca="1" si="218">CA42/CA$42</f>
        <v>1</v>
      </c>
      <c r="BM84" s="87">
        <f t="shared" ref="BM84:BM102" ca="1" si="219">CB42/CB$42</f>
        <v>1</v>
      </c>
      <c r="BN84" s="87">
        <f t="shared" ref="BN84:BN102" ca="1" si="220">CC42/CC$42</f>
        <v>1</v>
      </c>
      <c r="BO84" s="87">
        <f t="shared" ref="BO84:BO102" ca="1" si="221">CD42/CD$42</f>
        <v>1</v>
      </c>
      <c r="BP84" s="87">
        <f t="shared" ref="BP84:BP102" ca="1" si="222">CE42/CE$42</f>
        <v>1</v>
      </c>
      <c r="BQ84" s="87">
        <f t="shared" ref="BQ84:BQ102" ca="1" si="223">CF42/CF$42</f>
        <v>1</v>
      </c>
    </row>
    <row r="85" spans="1:69" x14ac:dyDescent="0.25">
      <c r="B85">
        <f t="shared" si="209"/>
        <v>81</v>
      </c>
      <c r="C85" s="86">
        <v>2019</v>
      </c>
      <c r="D85">
        <v>868</v>
      </c>
      <c r="E85">
        <v>694</v>
      </c>
      <c r="F85">
        <v>1085</v>
      </c>
      <c r="G85">
        <v>4135</v>
      </c>
      <c r="H85">
        <v>0</v>
      </c>
      <c r="I85" s="86">
        <v>2019</v>
      </c>
      <c r="J85">
        <v>162</v>
      </c>
      <c r="K85">
        <v>130</v>
      </c>
      <c r="L85">
        <v>203</v>
      </c>
      <c r="T85" s="69" t="s">
        <v>118</v>
      </c>
      <c r="U85">
        <v>0</v>
      </c>
      <c r="BD85">
        <f t="shared" si="210"/>
        <v>2013</v>
      </c>
      <c r="BE85" s="87">
        <f t="shared" ca="1" si="211"/>
        <v>1.0521564694082246</v>
      </c>
      <c r="BF85" s="87">
        <f t="shared" ca="1" si="212"/>
        <v>1.2284866468842728</v>
      </c>
      <c r="BG85" s="87">
        <f t="shared" ca="1" si="213"/>
        <v>1.0536912751677854</v>
      </c>
      <c r="BH85" s="87">
        <f t="shared" ca="1" si="214"/>
        <v>1.2289473684210528</v>
      </c>
      <c r="BI85" s="87">
        <f t="shared" ca="1" si="215"/>
        <v>1.6110210696920584</v>
      </c>
      <c r="BJ85" s="87">
        <f t="shared" ca="1" si="216"/>
        <v>2.1304347826086953</v>
      </c>
      <c r="BK85" s="87">
        <f t="shared" ca="1" si="217"/>
        <v>1.1217532467532467</v>
      </c>
      <c r="BL85" s="87">
        <f t="shared" ca="1" si="218"/>
        <v>1.0640062597809077</v>
      </c>
      <c r="BM85" s="87">
        <f t="shared" ca="1" si="219"/>
        <v>1.1132509586706434</v>
      </c>
      <c r="BN85" s="87">
        <f t="shared" ca="1" si="220"/>
        <v>1.0872240318494391</v>
      </c>
      <c r="BO85" s="87">
        <f t="shared" ca="1" si="221"/>
        <v>1.0770877944325481</v>
      </c>
      <c r="BP85" s="87">
        <f t="shared" ca="1" si="222"/>
        <v>1.0712719298245614</v>
      </c>
      <c r="BQ85" s="87">
        <f t="shared" ca="1" si="223"/>
        <v>1.0560023420413645</v>
      </c>
    </row>
    <row r="86" spans="1:69" x14ac:dyDescent="0.25">
      <c r="B86">
        <f t="shared" si="209"/>
        <v>82</v>
      </c>
      <c r="C86" s="86">
        <v>2020</v>
      </c>
      <c r="D86">
        <v>907</v>
      </c>
      <c r="E86">
        <v>726</v>
      </c>
      <c r="F86">
        <v>1134</v>
      </c>
      <c r="G86">
        <v>5256</v>
      </c>
      <c r="H86">
        <v>0</v>
      </c>
      <c r="I86" s="86">
        <v>2020</v>
      </c>
      <c r="J86">
        <v>170</v>
      </c>
      <c r="K86">
        <v>136</v>
      </c>
      <c r="L86">
        <v>212</v>
      </c>
      <c r="N86">
        <f>G86/(G86+D86)</f>
        <v>0.8528314132727568</v>
      </c>
      <c r="T86" s="69" t="s">
        <v>119</v>
      </c>
      <c r="U86">
        <v>0</v>
      </c>
      <c r="BD86">
        <f t="shared" si="210"/>
        <v>2014</v>
      </c>
      <c r="BE86" s="87">
        <f t="shared" ca="1" si="211"/>
        <v>1.109662320294216</v>
      </c>
      <c r="BF86" s="87">
        <f t="shared" ca="1" si="212"/>
        <v>1.4718100890207715</v>
      </c>
      <c r="BG86" s="87">
        <f t="shared" ca="1" si="213"/>
        <v>1.1208053691275168</v>
      </c>
      <c r="BH86" s="87">
        <f t="shared" ca="1" si="214"/>
        <v>1.4500000000000002</v>
      </c>
      <c r="BI86" s="87">
        <f t="shared" ca="1" si="215"/>
        <v>2.2641815235008105</v>
      </c>
      <c r="BJ86" s="87">
        <f t="shared" ca="1" si="216"/>
        <v>6.3985507246376807</v>
      </c>
      <c r="BK86" s="87">
        <f t="shared" ca="1" si="217"/>
        <v>1.7134740259740262</v>
      </c>
      <c r="BL86" s="87">
        <f t="shared" ca="1" si="218"/>
        <v>1.1338028169014085</v>
      </c>
      <c r="BM86" s="87">
        <f t="shared" ca="1" si="219"/>
        <v>1.1704303365999147</v>
      </c>
      <c r="BN86" s="87">
        <f t="shared" ca="1" si="220"/>
        <v>1.1827723488961273</v>
      </c>
      <c r="BO86" s="87">
        <f t="shared" ca="1" si="221"/>
        <v>1.1638115631691648</v>
      </c>
      <c r="BP86" s="87">
        <f t="shared" ca="1" si="222"/>
        <v>1.1447368421052631</v>
      </c>
      <c r="BQ86" s="87">
        <f t="shared" ca="1" si="223"/>
        <v>1.1187380530059068</v>
      </c>
    </row>
    <row r="87" spans="1:69" x14ac:dyDescent="0.25">
      <c r="B87">
        <f t="shared" si="209"/>
        <v>83</v>
      </c>
      <c r="C87" s="86">
        <v>2021</v>
      </c>
      <c r="D87">
        <v>957</v>
      </c>
      <c r="E87">
        <v>766</v>
      </c>
      <c r="F87">
        <v>1196</v>
      </c>
      <c r="G87">
        <v>5256</v>
      </c>
      <c r="H87">
        <v>0</v>
      </c>
      <c r="I87" s="86">
        <v>2021</v>
      </c>
      <c r="J87">
        <v>179</v>
      </c>
      <c r="K87">
        <v>143</v>
      </c>
      <c r="L87">
        <v>224</v>
      </c>
      <c r="T87" s="69" t="s">
        <v>120</v>
      </c>
      <c r="U87">
        <v>0</v>
      </c>
      <c r="BD87">
        <f t="shared" si="210"/>
        <v>2015</v>
      </c>
      <c r="BE87" s="87">
        <f t="shared" ca="1" si="211"/>
        <v>1.2517552657973923</v>
      </c>
      <c r="BF87" s="87">
        <f t="shared" ca="1" si="212"/>
        <v>1.7388724035608307</v>
      </c>
      <c r="BG87" s="87">
        <f t="shared" ca="1" si="213"/>
        <v>1.1812080536912752</v>
      </c>
      <c r="BH87" s="87">
        <f t="shared" ca="1" si="214"/>
        <v>2.0565789473684211</v>
      </c>
      <c r="BI87" s="87">
        <f t="shared" ca="1" si="215"/>
        <v>2.4278768233387358</v>
      </c>
      <c r="BJ87" s="87">
        <f t="shared" ca="1" si="216"/>
        <v>10.478260869565217</v>
      </c>
      <c r="BK87" s="87">
        <f t="shared" ca="1" si="217"/>
        <v>1.8068181818181819</v>
      </c>
      <c r="BL87" s="87">
        <f t="shared" ca="1" si="218"/>
        <v>1.2098591549295774</v>
      </c>
      <c r="BM87" s="87">
        <f t="shared" ca="1" si="219"/>
        <v>1.2317852577758841</v>
      </c>
      <c r="BN87" s="87">
        <f t="shared" ca="1" si="220"/>
        <v>1.2837495475931959</v>
      </c>
      <c r="BO87" s="87">
        <f t="shared" ca="1" si="221"/>
        <v>1.2558886509635974</v>
      </c>
      <c r="BP87" s="87">
        <f t="shared" ca="1" si="222"/>
        <v>1.3541666666666667</v>
      </c>
      <c r="BQ87" s="87">
        <f t="shared" ca="1" si="223"/>
        <v>1.1853140229726704</v>
      </c>
    </row>
    <row r="88" spans="1:69" x14ac:dyDescent="0.25">
      <c r="B88">
        <f t="shared" si="209"/>
        <v>84</v>
      </c>
      <c r="C88" s="86">
        <v>2022</v>
      </c>
      <c r="D88">
        <v>1007</v>
      </c>
      <c r="E88">
        <v>806</v>
      </c>
      <c r="F88">
        <v>1259</v>
      </c>
      <c r="G88">
        <v>5256</v>
      </c>
      <c r="H88">
        <v>0</v>
      </c>
      <c r="I88" s="86">
        <v>2022</v>
      </c>
      <c r="J88">
        <v>188</v>
      </c>
      <c r="K88">
        <v>151</v>
      </c>
      <c r="L88">
        <v>236</v>
      </c>
      <c r="T88" s="69" t="s">
        <v>121</v>
      </c>
      <c r="U88">
        <v>0</v>
      </c>
      <c r="BD88">
        <f t="shared" si="210"/>
        <v>2016</v>
      </c>
      <c r="BE88" s="87">
        <f t="shared" ca="1" si="211"/>
        <v>1.4413239719157471</v>
      </c>
      <c r="BF88" s="87">
        <f t="shared" ca="1" si="212"/>
        <v>2.2166172106824926</v>
      </c>
      <c r="BG88" s="87">
        <f t="shared" ca="1" si="213"/>
        <v>3.6107382550335574</v>
      </c>
      <c r="BH88" s="87">
        <f t="shared" ca="1" si="214"/>
        <v>5.7381578947368421</v>
      </c>
      <c r="BI88" s="87">
        <f t="shared" ca="1" si="215"/>
        <v>3.7714748784440841</v>
      </c>
      <c r="BJ88" s="87">
        <f t="shared" ca="1" si="216"/>
        <v>15.355072463768117</v>
      </c>
      <c r="BK88" s="87">
        <f t="shared" ca="1" si="217"/>
        <v>2.3506493506493507</v>
      </c>
      <c r="BL88" s="87">
        <f t="shared" ca="1" si="218"/>
        <v>1.2827856025039124</v>
      </c>
      <c r="BM88" s="87">
        <f t="shared" ca="1" si="219"/>
        <v>1.2972305070302514</v>
      </c>
      <c r="BN88" s="87">
        <f t="shared" ca="1" si="220"/>
        <v>1.3901556279406444</v>
      </c>
      <c r="BO88" s="87">
        <f t="shared" ca="1" si="221"/>
        <v>1.3543897216274088</v>
      </c>
      <c r="BP88" s="87">
        <f t="shared" ca="1" si="222"/>
        <v>1.4320175438596492</v>
      </c>
      <c r="BQ88" s="87">
        <f t="shared" ca="1" si="223"/>
        <v>1.2558507981883622</v>
      </c>
    </row>
    <row r="89" spans="1:69" x14ac:dyDescent="0.25">
      <c r="B89">
        <f t="shared" si="209"/>
        <v>85</v>
      </c>
      <c r="C89" s="86">
        <v>2023</v>
      </c>
      <c r="D89">
        <v>1057</v>
      </c>
      <c r="E89">
        <v>846</v>
      </c>
      <c r="F89">
        <v>1321</v>
      </c>
      <c r="G89">
        <v>5256</v>
      </c>
      <c r="H89">
        <v>0</v>
      </c>
      <c r="I89" s="86">
        <v>2023</v>
      </c>
      <c r="J89">
        <v>198</v>
      </c>
      <c r="K89">
        <v>158</v>
      </c>
      <c r="L89">
        <v>247</v>
      </c>
      <c r="T89" s="69" t="s">
        <v>122</v>
      </c>
      <c r="U89">
        <v>0</v>
      </c>
      <c r="BD89">
        <f t="shared" si="210"/>
        <v>2017</v>
      </c>
      <c r="BE89" s="87">
        <f t="shared" ca="1" si="211"/>
        <v>1.5165496489468404</v>
      </c>
      <c r="BF89" s="87">
        <f t="shared" ca="1" si="212"/>
        <v>2.2878338278931749</v>
      </c>
      <c r="BG89" s="87">
        <f t="shared" ca="1" si="213"/>
        <v>3.9194630872483223</v>
      </c>
      <c r="BH89" s="87">
        <f t="shared" ca="1" si="214"/>
        <v>5.8526315789473689</v>
      </c>
      <c r="BI89" s="87">
        <f t="shared" ca="1" si="215"/>
        <v>5.0275526742301455</v>
      </c>
      <c r="BJ89" s="87">
        <f t="shared" ca="1" si="216"/>
        <v>15.478260869565217</v>
      </c>
      <c r="BK89" s="87">
        <f t="shared" ca="1" si="217"/>
        <v>2.4326298701298699</v>
      </c>
      <c r="BL89" s="87">
        <f t="shared" ca="1" si="218"/>
        <v>1.3583724569640063</v>
      </c>
      <c r="BM89" s="87">
        <f t="shared" ca="1" si="219"/>
        <v>1.3669365146996166</v>
      </c>
      <c r="BN89" s="87">
        <f t="shared" ca="1" si="220"/>
        <v>1.5023525153818313</v>
      </c>
      <c r="BO89" s="87">
        <f t="shared" ca="1" si="221"/>
        <v>1.4582441113490365</v>
      </c>
      <c r="BP89" s="87">
        <f t="shared" ca="1" si="222"/>
        <v>1.5120614035087718</v>
      </c>
      <c r="BQ89" s="87">
        <f t="shared" ca="1" si="223"/>
        <v>1.3304517040073016</v>
      </c>
    </row>
    <row r="90" spans="1:69" x14ac:dyDescent="0.25">
      <c r="B90">
        <f t="shared" si="209"/>
        <v>86</v>
      </c>
      <c r="C90" s="86">
        <v>2024</v>
      </c>
      <c r="D90">
        <v>1107</v>
      </c>
      <c r="E90">
        <v>886</v>
      </c>
      <c r="F90">
        <v>1384</v>
      </c>
      <c r="G90">
        <v>5256</v>
      </c>
      <c r="H90">
        <v>0</v>
      </c>
      <c r="I90" s="86">
        <v>2024</v>
      </c>
      <c r="J90">
        <v>207</v>
      </c>
      <c r="K90">
        <v>166</v>
      </c>
      <c r="L90">
        <v>259</v>
      </c>
      <c r="T90" s="69" t="s">
        <v>123</v>
      </c>
      <c r="U90">
        <v>0</v>
      </c>
      <c r="BD90">
        <f t="shared" si="210"/>
        <v>2018</v>
      </c>
      <c r="BE90" s="87">
        <f t="shared" ca="1" si="211"/>
        <v>1.5961216984286191</v>
      </c>
      <c r="BF90" s="87">
        <f t="shared" ca="1" si="212"/>
        <v>2.3620178041543025</v>
      </c>
      <c r="BG90" s="87">
        <f t="shared" ca="1" si="213"/>
        <v>4.2416107382550337</v>
      </c>
      <c r="BH90" s="87">
        <f t="shared" ca="1" si="214"/>
        <v>5.9763157894736842</v>
      </c>
      <c r="BI90" s="87">
        <f t="shared" ca="1" si="215"/>
        <v>6.2252836304700168</v>
      </c>
      <c r="BJ90" s="87">
        <f t="shared" ca="1" si="216"/>
        <v>15.60869565217391</v>
      </c>
      <c r="BK90" s="87">
        <f t="shared" ca="1" si="217"/>
        <v>2.5592532467532467</v>
      </c>
      <c r="BL90" s="87">
        <f t="shared" ca="1" si="218"/>
        <v>1.4369327073552427</v>
      </c>
      <c r="BM90" s="87">
        <f t="shared" ca="1" si="219"/>
        <v>1.4411589262888793</v>
      </c>
      <c r="BN90" s="87">
        <f t="shared" ca="1" si="220"/>
        <v>1.6207021353601159</v>
      </c>
      <c r="BO90" s="87">
        <f t="shared" ca="1" si="221"/>
        <v>1.5695931477516059</v>
      </c>
      <c r="BP90" s="87">
        <f t="shared" ca="1" si="222"/>
        <v>1.5942982456140349</v>
      </c>
      <c r="BQ90" s="87">
        <f t="shared" ca="1" si="223"/>
        <v>1.4096333672010881</v>
      </c>
    </row>
    <row r="91" spans="1:69" x14ac:dyDescent="0.25">
      <c r="B91">
        <f t="shared" si="209"/>
        <v>87</v>
      </c>
      <c r="C91" s="86">
        <v>2025</v>
      </c>
      <c r="D91">
        <v>1157</v>
      </c>
      <c r="E91">
        <v>926</v>
      </c>
      <c r="F91">
        <v>1446</v>
      </c>
      <c r="G91">
        <v>5256</v>
      </c>
      <c r="H91">
        <v>0</v>
      </c>
      <c r="I91" s="86">
        <v>2025</v>
      </c>
      <c r="J91">
        <v>217</v>
      </c>
      <c r="K91">
        <v>173</v>
      </c>
      <c r="L91">
        <v>271</v>
      </c>
      <c r="N91">
        <f>G91/(G91+D91)</f>
        <v>0.8195852175268985</v>
      </c>
      <c r="T91" s="69" t="s">
        <v>124</v>
      </c>
      <c r="U91">
        <v>0</v>
      </c>
      <c r="BD91">
        <f t="shared" si="210"/>
        <v>2019</v>
      </c>
      <c r="BE91" s="87">
        <f t="shared" ca="1" si="211"/>
        <v>1.6803744567034435</v>
      </c>
      <c r="BF91" s="87">
        <f t="shared" ca="1" si="212"/>
        <v>2.4362017804154301</v>
      </c>
      <c r="BG91" s="87">
        <f t="shared" ca="1" si="213"/>
        <v>4.5838926174496653</v>
      </c>
      <c r="BH91" s="87">
        <f t="shared" ca="1" si="214"/>
        <v>8.8671052631578942</v>
      </c>
      <c r="BI91" s="87">
        <f t="shared" ca="1" si="215"/>
        <v>8.1085899513776347</v>
      </c>
      <c r="BJ91" s="87">
        <f t="shared" ca="1" si="216"/>
        <v>15.753623188405795</v>
      </c>
      <c r="BK91" s="87">
        <f t="shared" ca="1" si="217"/>
        <v>2.6363636363636367</v>
      </c>
      <c r="BL91" s="87">
        <f t="shared" ca="1" si="218"/>
        <v>1.5184663536776213</v>
      </c>
      <c r="BM91" s="87">
        <f t="shared" ca="1" si="219"/>
        <v>1.52023860247124</v>
      </c>
      <c r="BN91" s="87">
        <f t="shared" ca="1" si="220"/>
        <v>1.7452044878754978</v>
      </c>
      <c r="BO91" s="87">
        <f t="shared" ca="1" si="221"/>
        <v>1.6873661670235547</v>
      </c>
      <c r="BP91" s="87">
        <f t="shared" ca="1" si="222"/>
        <v>1.6776315789473684</v>
      </c>
      <c r="BQ91" s="87">
        <f t="shared" ca="1" si="223"/>
        <v>1.4933441250925623</v>
      </c>
    </row>
    <row r="92" spans="1:69" x14ac:dyDescent="0.25">
      <c r="B92">
        <f t="shared" si="209"/>
        <v>88</v>
      </c>
      <c r="BD92">
        <f t="shared" si="210"/>
        <v>2020</v>
      </c>
      <c r="BE92" s="87">
        <f t="shared" ca="1" si="211"/>
        <v>1.7739886325643597</v>
      </c>
      <c r="BF92" s="87">
        <f t="shared" ca="1" si="212"/>
        <v>2.5133531157270026</v>
      </c>
      <c r="BG92" s="87">
        <f t="shared" ca="1" si="213"/>
        <v>7.2885906040268464</v>
      </c>
      <c r="BH92" s="87">
        <f t="shared" ca="1" si="214"/>
        <v>9.0434210526315795</v>
      </c>
      <c r="BI92" s="87">
        <f t="shared" ca="1" si="215"/>
        <v>9.9886547811993527</v>
      </c>
      <c r="BJ92" s="87">
        <f t="shared" ca="1" si="216"/>
        <v>15.905797101449274</v>
      </c>
      <c r="BK92" s="87">
        <f t="shared" ca="1" si="217"/>
        <v>2.7581168831168834</v>
      </c>
      <c r="BL92" s="87">
        <f t="shared" ca="1" si="218"/>
        <v>1.6031298904538342</v>
      </c>
      <c r="BM92" s="87">
        <f t="shared" ca="1" si="219"/>
        <v>1.6044311887515978</v>
      </c>
      <c r="BN92" s="87">
        <f t="shared" ca="1" si="220"/>
        <v>1.8765834238146941</v>
      </c>
      <c r="BO92" s="87">
        <f t="shared" ca="1" si="221"/>
        <v>1.8137044967880085</v>
      </c>
      <c r="BP92" s="87">
        <f t="shared" ca="1" si="222"/>
        <v>1.7642543859649122</v>
      </c>
      <c r="BQ92" s="87">
        <f t="shared" ca="1" si="223"/>
        <v>1.5821350462380961</v>
      </c>
    </row>
    <row r="93" spans="1:69" ht="45" x14ac:dyDescent="0.25">
      <c r="A93" s="103" t="s">
        <v>489</v>
      </c>
      <c r="B93">
        <f t="shared" si="209"/>
        <v>89</v>
      </c>
      <c r="C93" s="75" t="s">
        <v>105</v>
      </c>
      <c r="D93" s="109" t="s">
        <v>493</v>
      </c>
      <c r="E93" s="109" t="s">
        <v>494</v>
      </c>
      <c r="F93" s="76" t="s">
        <v>152</v>
      </c>
      <c r="G93" s="110" t="s">
        <v>495</v>
      </c>
      <c r="H93" s="71"/>
      <c r="I93" s="75" t="s">
        <v>105</v>
      </c>
      <c r="J93" s="76" t="s">
        <v>150</v>
      </c>
      <c r="K93" s="76" t="s">
        <v>151</v>
      </c>
      <c r="L93" s="76" t="s">
        <v>152</v>
      </c>
      <c r="N93" s="71" t="s">
        <v>148</v>
      </c>
      <c r="O93" s="71" t="s">
        <v>149</v>
      </c>
      <c r="P93" s="71" t="s">
        <v>147</v>
      </c>
      <c r="Q93" s="71" t="s">
        <v>156</v>
      </c>
      <c r="R93" s="71" t="s">
        <v>159</v>
      </c>
      <c r="T93" s="78" t="s">
        <v>154</v>
      </c>
      <c r="U93" s="71"/>
      <c r="BD93">
        <f t="shared" si="210"/>
        <v>2021</v>
      </c>
      <c r="BE93" s="87">
        <f t="shared" ca="1" si="211"/>
        <v>1.8803075894349714</v>
      </c>
      <c r="BF93" s="87">
        <f t="shared" ca="1" si="212"/>
        <v>2.6083086053412461</v>
      </c>
      <c r="BG93" s="87">
        <f t="shared" ca="1" si="213"/>
        <v>7.6644295302013417</v>
      </c>
      <c r="BH93" s="87">
        <f t="shared" ca="1" si="214"/>
        <v>9.2671052631578945</v>
      </c>
      <c r="BI93" s="87">
        <f t="shared" ca="1" si="215"/>
        <v>10.06969205834684</v>
      </c>
      <c r="BJ93" s="87">
        <f t="shared" ca="1" si="216"/>
        <v>16.072463768115941</v>
      </c>
      <c r="BK93" s="87">
        <f t="shared" ca="1" si="217"/>
        <v>2.8952922077922079</v>
      </c>
      <c r="BL93" s="87">
        <f t="shared" ca="1" si="218"/>
        <v>1.6912363067292646</v>
      </c>
      <c r="BM93" s="87">
        <f t="shared" ca="1" si="219"/>
        <v>1.6939923306348532</v>
      </c>
      <c r="BN93" s="87">
        <f t="shared" ca="1" si="220"/>
        <v>2.0148389431777054</v>
      </c>
      <c r="BO93" s="87">
        <f t="shared" ca="1" si="221"/>
        <v>1.9486081370449679</v>
      </c>
      <c r="BP93" s="87">
        <f t="shared" ca="1" si="222"/>
        <v>1.8541666666666667</v>
      </c>
      <c r="BQ93" s="87">
        <f t="shared" ca="1" si="223"/>
        <v>1.7002531471180835</v>
      </c>
    </row>
    <row r="94" spans="1:69" x14ac:dyDescent="0.25">
      <c r="A94" s="108" t="s">
        <v>76</v>
      </c>
      <c r="B94">
        <f t="shared" si="209"/>
        <v>90</v>
      </c>
      <c r="C94" s="68" t="s">
        <v>105</v>
      </c>
      <c r="D94" s="69" t="s">
        <v>109</v>
      </c>
      <c r="E94" s="69" t="s">
        <v>109</v>
      </c>
      <c r="F94" s="69" t="s">
        <v>109</v>
      </c>
      <c r="G94" s="69" t="s">
        <v>109</v>
      </c>
      <c r="I94" s="68" t="s">
        <v>105</v>
      </c>
      <c r="J94" s="69" t="s">
        <v>125</v>
      </c>
      <c r="K94" s="69" t="s">
        <v>125</v>
      </c>
      <c r="L94" s="69" t="s">
        <v>125</v>
      </c>
      <c r="N94" s="69" t="s">
        <v>109</v>
      </c>
      <c r="O94" s="69" t="s">
        <v>125</v>
      </c>
      <c r="P94" s="69" t="s">
        <v>11</v>
      </c>
      <c r="Q94" s="69" t="s">
        <v>157</v>
      </c>
      <c r="R94" s="69" t="s">
        <v>157</v>
      </c>
      <c r="T94" s="69"/>
      <c r="U94" s="69" t="s">
        <v>157</v>
      </c>
      <c r="BD94">
        <f t="shared" si="210"/>
        <v>2022</v>
      </c>
      <c r="BE94" s="87">
        <f t="shared" ca="1" si="211"/>
        <v>1.9836175192243395</v>
      </c>
      <c r="BF94" s="87">
        <f t="shared" ca="1" si="212"/>
        <v>2.7062314540059345</v>
      </c>
      <c r="BG94" s="87">
        <f t="shared" ca="1" si="213"/>
        <v>7.825503355704698</v>
      </c>
      <c r="BH94" s="87">
        <f t="shared" ca="1" si="214"/>
        <v>9.4565789473684205</v>
      </c>
      <c r="BI94" s="87">
        <f t="shared" ca="1" si="215"/>
        <v>10.150729335494328</v>
      </c>
      <c r="BJ94" s="87">
        <f t="shared" ca="1" si="216"/>
        <v>16.246376811594203</v>
      </c>
      <c r="BK94" s="87">
        <f t="shared" ca="1" si="217"/>
        <v>3.035714285714286</v>
      </c>
      <c r="BL94" s="87">
        <f t="shared" ca="1" si="218"/>
        <v>1.7826291079812207</v>
      </c>
      <c r="BM94" s="87">
        <f t="shared" ca="1" si="219"/>
        <v>1.7893481039625054</v>
      </c>
      <c r="BN94" s="87">
        <f t="shared" ca="1" si="220"/>
        <v>2.1610568222946074</v>
      </c>
      <c r="BO94" s="87">
        <f t="shared" ca="1" si="221"/>
        <v>2.0910064239828694</v>
      </c>
      <c r="BP94" s="87">
        <f t="shared" ca="1" si="222"/>
        <v>1.9451754385964912</v>
      </c>
      <c r="BQ94" s="87">
        <f t="shared" ca="1" si="223"/>
        <v>1.801374227212454</v>
      </c>
    </row>
    <row r="95" spans="1:69" x14ac:dyDescent="0.25">
      <c r="A95" t="s">
        <v>77</v>
      </c>
      <c r="B95">
        <f t="shared" si="209"/>
        <v>91</v>
      </c>
      <c r="C95" s="86">
        <v>2011</v>
      </c>
      <c r="D95">
        <v>47</v>
      </c>
      <c r="E95">
        <v>34</v>
      </c>
      <c r="F95">
        <v>57</v>
      </c>
      <c r="G95">
        <v>0</v>
      </c>
      <c r="H95">
        <v>0</v>
      </c>
      <c r="I95" s="86">
        <v>2011</v>
      </c>
      <c r="J95">
        <v>9</v>
      </c>
      <c r="K95">
        <v>6</v>
      </c>
      <c r="L95">
        <v>11</v>
      </c>
      <c r="M95" s="97">
        <f>N95/(O95*8.76)</f>
        <v>0.43125317097919835</v>
      </c>
      <c r="N95">
        <f>E95</f>
        <v>34</v>
      </c>
      <c r="O95">
        <f>J95</f>
        <v>9</v>
      </c>
      <c r="P95" s="104"/>
      <c r="Q95">
        <v>0</v>
      </c>
      <c r="R95">
        <v>0</v>
      </c>
      <c r="T95" s="69" t="s">
        <v>110</v>
      </c>
      <c r="U95">
        <v>0</v>
      </c>
      <c r="BD95">
        <f t="shared" si="210"/>
        <v>2023</v>
      </c>
      <c r="BE95" s="87">
        <f t="shared" ca="1" si="211"/>
        <v>2.0932798395185555</v>
      </c>
      <c r="BF95" s="87">
        <f t="shared" ca="1" si="212"/>
        <v>2.8041543026706228</v>
      </c>
      <c r="BG95" s="87">
        <f t="shared" ca="1" si="213"/>
        <v>8</v>
      </c>
      <c r="BH95" s="87">
        <f t="shared" ca="1" si="214"/>
        <v>9.6473684210526311</v>
      </c>
      <c r="BI95" s="87">
        <f t="shared" ca="1" si="215"/>
        <v>10.231766612641815</v>
      </c>
      <c r="BJ95" s="87">
        <f t="shared" ca="1" si="216"/>
        <v>16.434782608695649</v>
      </c>
      <c r="BK95" s="87">
        <f t="shared" ca="1" si="217"/>
        <v>3.1785714285714284</v>
      </c>
      <c r="BL95" s="87">
        <f t="shared" ca="1" si="218"/>
        <v>1.877621283255086</v>
      </c>
      <c r="BM95" s="87">
        <f t="shared" ca="1" si="219"/>
        <v>1.8908393694077548</v>
      </c>
      <c r="BN95" s="87">
        <f t="shared" ca="1" si="220"/>
        <v>2.3145132102786827</v>
      </c>
      <c r="BO95" s="87">
        <f t="shared" ca="1" si="221"/>
        <v>2.2430406852248397</v>
      </c>
      <c r="BP95" s="87">
        <f t="shared" ca="1" si="222"/>
        <v>2.0394736842105265</v>
      </c>
      <c r="BQ95" s="87">
        <f t="shared" ca="1" si="223"/>
        <v>1.9084365151802165</v>
      </c>
    </row>
    <row r="96" spans="1:69" x14ac:dyDescent="0.25">
      <c r="B96">
        <f t="shared" si="209"/>
        <v>92</v>
      </c>
      <c r="C96" s="86">
        <v>2012</v>
      </c>
      <c r="D96">
        <v>105</v>
      </c>
      <c r="E96">
        <v>57</v>
      </c>
      <c r="F96">
        <v>115</v>
      </c>
      <c r="G96">
        <v>33</v>
      </c>
      <c r="H96">
        <v>0</v>
      </c>
      <c r="I96" s="86">
        <v>2012</v>
      </c>
      <c r="J96">
        <v>20</v>
      </c>
      <c r="K96">
        <v>11</v>
      </c>
      <c r="L96">
        <v>22</v>
      </c>
      <c r="N96" t="s">
        <v>105</v>
      </c>
      <c r="P96" t="s">
        <v>488</v>
      </c>
      <c r="T96" s="69" t="s">
        <v>111</v>
      </c>
      <c r="U96">
        <v>0</v>
      </c>
      <c r="BD96">
        <f t="shared" si="210"/>
        <v>2024</v>
      </c>
      <c r="BE96" s="87">
        <f t="shared" ca="1" si="211"/>
        <v>2.2102975593447005</v>
      </c>
      <c r="BF96" s="87">
        <f t="shared" ca="1" si="212"/>
        <v>2.9080118694362014</v>
      </c>
      <c r="BG96" s="87">
        <f t="shared" ca="1" si="213"/>
        <v>8.1744966442953029</v>
      </c>
      <c r="BH96" s="87">
        <f t="shared" ca="1" si="214"/>
        <v>9.8381578947368418</v>
      </c>
      <c r="BI96" s="87">
        <f t="shared" ca="1" si="215"/>
        <v>10.312803889789304</v>
      </c>
      <c r="BJ96" s="87">
        <f t="shared" ca="1" si="216"/>
        <v>16.630434782608695</v>
      </c>
      <c r="BK96" s="87">
        <f t="shared" ca="1" si="217"/>
        <v>3.3254870129870135</v>
      </c>
      <c r="BL96" s="87">
        <f t="shared" ca="1" si="218"/>
        <v>1.9762128325508608</v>
      </c>
      <c r="BM96" s="87">
        <f t="shared" ca="1" si="219"/>
        <v>1.9988069876438006</v>
      </c>
      <c r="BN96" s="87">
        <f t="shared" ca="1" si="220"/>
        <v>2.476293883460007</v>
      </c>
      <c r="BO96" s="87">
        <f t="shared" ca="1" si="221"/>
        <v>2.4057815845824408</v>
      </c>
      <c r="BP96" s="87">
        <f t="shared" ca="1" si="222"/>
        <v>2.1359649122807016</v>
      </c>
      <c r="BQ96" s="87">
        <f t="shared" ca="1" si="223"/>
        <v>2.021939416900584</v>
      </c>
    </row>
    <row r="97" spans="1:69" x14ac:dyDescent="0.25">
      <c r="B97">
        <f t="shared" si="209"/>
        <v>93</v>
      </c>
      <c r="C97" s="86">
        <v>2013</v>
      </c>
      <c r="D97">
        <v>163</v>
      </c>
      <c r="E97">
        <v>90</v>
      </c>
      <c r="F97">
        <v>190</v>
      </c>
      <c r="G97">
        <v>131</v>
      </c>
      <c r="H97">
        <v>0</v>
      </c>
      <c r="I97" s="86">
        <v>2013</v>
      </c>
      <c r="J97">
        <v>31</v>
      </c>
      <c r="K97">
        <v>17</v>
      </c>
      <c r="L97">
        <v>36</v>
      </c>
      <c r="N97" t="s">
        <v>105</v>
      </c>
      <c r="P97" s="94">
        <f ca="1">INDIRECT(A95&amp;"!c10")</f>
        <v>0.15</v>
      </c>
      <c r="T97" s="69" t="s">
        <v>112</v>
      </c>
      <c r="U97">
        <v>0</v>
      </c>
      <c r="BD97">
        <f t="shared" si="210"/>
        <v>2025</v>
      </c>
      <c r="BE97" s="87">
        <f t="shared" ca="1" si="211"/>
        <v>2.3346706787027749</v>
      </c>
      <c r="BF97" s="87">
        <f t="shared" ca="1" si="212"/>
        <v>3.0178041543026701</v>
      </c>
      <c r="BG97" s="87">
        <f t="shared" ca="1" si="213"/>
        <v>8.3624161073825505</v>
      </c>
      <c r="BH97" s="87">
        <f t="shared" ca="1" si="214"/>
        <v>10.034210526315789</v>
      </c>
      <c r="BI97" s="87">
        <f t="shared" ca="1" si="215"/>
        <v>10.393841166936792</v>
      </c>
      <c r="BJ97" s="87">
        <f t="shared" ca="1" si="216"/>
        <v>16.840579710144926</v>
      </c>
      <c r="BK97" s="87">
        <f t="shared" ca="1" si="217"/>
        <v>3.4756493506493507</v>
      </c>
      <c r="BL97" s="87">
        <f t="shared" ca="1" si="218"/>
        <v>2.0788732394366201</v>
      </c>
      <c r="BM97" s="87">
        <f t="shared" ca="1" si="219"/>
        <v>2.1135918193438434</v>
      </c>
      <c r="BN97" s="87">
        <f t="shared" ca="1" si="220"/>
        <v>2.6471226927252989</v>
      </c>
      <c r="BO97" s="87">
        <f t="shared" ca="1" si="221"/>
        <v>2.5781584582441113</v>
      </c>
      <c r="BP97" s="87">
        <f t="shared" ca="1" si="222"/>
        <v>2.2357456140350878</v>
      </c>
      <c r="BQ97" s="87">
        <f t="shared" ca="1" si="223"/>
        <v>2.1421584666517419</v>
      </c>
    </row>
    <row r="98" spans="1:69" x14ac:dyDescent="0.25">
      <c r="B98">
        <f t="shared" si="209"/>
        <v>94</v>
      </c>
      <c r="C98" s="86">
        <v>2014</v>
      </c>
      <c r="D98">
        <v>226</v>
      </c>
      <c r="E98">
        <v>125</v>
      </c>
      <c r="F98">
        <v>263</v>
      </c>
      <c r="G98">
        <v>657</v>
      </c>
      <c r="H98">
        <v>0</v>
      </c>
      <c r="I98" s="86">
        <v>2014</v>
      </c>
      <c r="J98">
        <v>43</v>
      </c>
      <c r="K98">
        <v>24</v>
      </c>
      <c r="L98">
        <v>50</v>
      </c>
      <c r="N98" t="s">
        <v>105</v>
      </c>
      <c r="T98" s="69" t="s">
        <v>113</v>
      </c>
      <c r="U98">
        <v>0</v>
      </c>
      <c r="BD98">
        <f t="shared" si="210"/>
        <v>2026</v>
      </c>
      <c r="BE98" s="87">
        <f t="shared" ca="1" si="211"/>
        <v>2.4620417173191855</v>
      </c>
      <c r="BF98" s="87">
        <f t="shared" ca="1" si="212"/>
        <v>3.129743610508168</v>
      </c>
      <c r="BG98" s="87">
        <f t="shared" ca="1" si="213"/>
        <v>8.5578271427330854</v>
      </c>
      <c r="BH98" s="87">
        <f t="shared" ca="1" si="214"/>
        <v>10.223024969162214</v>
      </c>
      <c r="BI98" s="87">
        <f t="shared" ca="1" si="215"/>
        <v>10.473904181530321</v>
      </c>
      <c r="BJ98" s="87">
        <f t="shared" ca="1" si="216"/>
        <v>17.061157371255195</v>
      </c>
      <c r="BK98" s="87">
        <f t="shared" ca="1" si="217"/>
        <v>3.6282373264357295</v>
      </c>
      <c r="BL98" s="87">
        <f t="shared" ca="1" si="218"/>
        <v>2.18506800702318</v>
      </c>
      <c r="BM98" s="87">
        <f t="shared" ca="1" si="219"/>
        <v>2.2358177150317333</v>
      </c>
      <c r="BN98" s="87">
        <f t="shared" ca="1" si="220"/>
        <v>2.8261026582087223</v>
      </c>
      <c r="BO98" s="87">
        <f t="shared" ca="1" si="221"/>
        <v>2.7614131729611855</v>
      </c>
      <c r="BP98" s="87">
        <f t="shared" ca="1" si="222"/>
        <v>2.3373144409012596</v>
      </c>
      <c r="BQ98" s="87">
        <f t="shared" ca="1" si="223"/>
        <v>2.2565054691075015</v>
      </c>
    </row>
    <row r="99" spans="1:69" x14ac:dyDescent="0.25">
      <c r="B99">
        <f t="shared" si="209"/>
        <v>95</v>
      </c>
      <c r="C99" s="86">
        <v>2015</v>
      </c>
      <c r="D99">
        <v>263</v>
      </c>
      <c r="E99">
        <v>180</v>
      </c>
      <c r="F99">
        <v>283</v>
      </c>
      <c r="G99">
        <v>1183</v>
      </c>
      <c r="H99">
        <v>0</v>
      </c>
      <c r="I99" s="86">
        <v>2015</v>
      </c>
      <c r="J99">
        <v>50</v>
      </c>
      <c r="K99">
        <v>34</v>
      </c>
      <c r="L99">
        <v>54</v>
      </c>
      <c r="N99" t="s">
        <v>105</v>
      </c>
      <c r="T99" s="69" t="s">
        <v>114</v>
      </c>
      <c r="U99">
        <v>0</v>
      </c>
      <c r="BD99">
        <f t="shared" si="210"/>
        <v>2027</v>
      </c>
      <c r="BE99" s="87">
        <f t="shared" ca="1" si="211"/>
        <v>2.5947942940736732</v>
      </c>
      <c r="BF99" s="87">
        <f t="shared" ca="1" si="212"/>
        <v>3.2456611548972312</v>
      </c>
      <c r="BG99" s="87">
        <f t="shared" ca="1" si="213"/>
        <v>8.7622328348939273</v>
      </c>
      <c r="BH99" s="87">
        <f t="shared" ca="1" si="214"/>
        <v>10.415120309037501</v>
      </c>
      <c r="BI99" s="87">
        <f t="shared" ca="1" si="215"/>
        <v>10.552773615339685</v>
      </c>
      <c r="BJ99" s="87">
        <f t="shared" ca="1" si="216"/>
        <v>17.293854862128466</v>
      </c>
      <c r="BK99" s="87">
        <f t="shared" ca="1" si="217"/>
        <v>3.7833735891730256</v>
      </c>
      <c r="BL99" s="87">
        <f t="shared" ca="1" si="218"/>
        <v>2.2950373000861108</v>
      </c>
      <c r="BM99" s="87">
        <f t="shared" ca="1" si="219"/>
        <v>2.3659028007651592</v>
      </c>
      <c r="BN99" s="87">
        <f t="shared" ca="1" si="220"/>
        <v>3.0137788536180357</v>
      </c>
      <c r="BO99" s="87">
        <f t="shared" ca="1" si="221"/>
        <v>2.9560418723454602</v>
      </c>
      <c r="BP99" s="87">
        <f t="shared" ca="1" si="222"/>
        <v>2.4410972877582728</v>
      </c>
      <c r="BQ99" s="87">
        <f t="shared" ca="1" si="223"/>
        <v>2.3700964469065653</v>
      </c>
    </row>
    <row r="100" spans="1:69" x14ac:dyDescent="0.25">
      <c r="B100">
        <f t="shared" si="209"/>
        <v>96</v>
      </c>
      <c r="C100" s="86">
        <v>2016</v>
      </c>
      <c r="D100">
        <v>279</v>
      </c>
      <c r="E100">
        <v>226</v>
      </c>
      <c r="F100">
        <v>304</v>
      </c>
      <c r="G100">
        <v>1840</v>
      </c>
      <c r="H100">
        <v>0</v>
      </c>
      <c r="I100" s="86">
        <v>2016</v>
      </c>
      <c r="J100">
        <v>53</v>
      </c>
      <c r="K100">
        <v>43</v>
      </c>
      <c r="L100">
        <v>58</v>
      </c>
      <c r="N100" t="s">
        <v>105</v>
      </c>
      <c r="T100" s="69" t="s">
        <v>115</v>
      </c>
      <c r="U100">
        <v>0</v>
      </c>
      <c r="BD100">
        <f t="shared" si="210"/>
        <v>2028</v>
      </c>
      <c r="BE100" s="87">
        <f t="shared" ca="1" si="211"/>
        <v>2.733052983018339</v>
      </c>
      <c r="BF100" s="87">
        <f t="shared" ca="1" si="212"/>
        <v>3.3656914515363048</v>
      </c>
      <c r="BG100" s="87">
        <f t="shared" ca="1" si="213"/>
        <v>8.9759604003532925</v>
      </c>
      <c r="BH100" s="87">
        <f t="shared" ca="1" si="214"/>
        <v>10.606884864614823</v>
      </c>
      <c r="BI100" s="87">
        <f t="shared" ca="1" si="215"/>
        <v>10.630026445819444</v>
      </c>
      <c r="BJ100" s="87">
        <f t="shared" ca="1" si="216"/>
        <v>17.539215605003253</v>
      </c>
      <c r="BK100" s="87">
        <f t="shared" ca="1" si="217"/>
        <v>3.9408150681860405</v>
      </c>
      <c r="BL100" s="87">
        <f t="shared" ca="1" si="218"/>
        <v>2.4088078302487661</v>
      </c>
      <c r="BM100" s="87">
        <f t="shared" ca="1" si="219"/>
        <v>2.5043635536535769</v>
      </c>
      <c r="BN100" s="87">
        <f t="shared" ca="1" si="220"/>
        <v>3.2102869985165268</v>
      </c>
      <c r="BO100" s="87">
        <f t="shared" ca="1" si="221"/>
        <v>3.1626201863522918</v>
      </c>
      <c r="BP100" s="87">
        <f t="shared" ca="1" si="222"/>
        <v>2.5469815860116367</v>
      </c>
      <c r="BQ100" s="87">
        <f t="shared" ca="1" si="223"/>
        <v>2.482200409256182</v>
      </c>
    </row>
    <row r="101" spans="1:69" x14ac:dyDescent="0.25">
      <c r="B101">
        <f t="shared" si="209"/>
        <v>97</v>
      </c>
      <c r="C101" s="86">
        <v>2017</v>
      </c>
      <c r="D101">
        <v>296</v>
      </c>
      <c r="E101">
        <v>263</v>
      </c>
      <c r="F101">
        <v>327</v>
      </c>
      <c r="G101">
        <v>1840</v>
      </c>
      <c r="H101">
        <v>0</v>
      </c>
      <c r="I101" s="86">
        <v>2017</v>
      </c>
      <c r="J101">
        <v>56</v>
      </c>
      <c r="K101">
        <v>50</v>
      </c>
      <c r="L101">
        <v>62</v>
      </c>
      <c r="N101" t="s">
        <v>105</v>
      </c>
      <c r="T101" s="69" t="s">
        <v>116</v>
      </c>
      <c r="U101">
        <v>0</v>
      </c>
      <c r="BD101">
        <f t="shared" si="210"/>
        <v>2029</v>
      </c>
      <c r="BE101" s="87">
        <f t="shared" ca="1" si="211"/>
        <v>2.8769386387921645</v>
      </c>
      <c r="BF101" s="87">
        <f t="shared" ca="1" si="212"/>
        <v>3.4899734733048913</v>
      </c>
      <c r="BG101" s="87">
        <f t="shared" ca="1" si="213"/>
        <v>9.1993440489491896</v>
      </c>
      <c r="BH101" s="87">
        <f t="shared" ca="1" si="214"/>
        <v>10.797672898123247</v>
      </c>
      <c r="BI101" s="87">
        <f t="shared" ca="1" si="215"/>
        <v>10.70523302854078</v>
      </c>
      <c r="BJ101" s="87">
        <f t="shared" ca="1" si="216"/>
        <v>17.797799337123504</v>
      </c>
      <c r="BK101" s="87">
        <f t="shared" ca="1" si="217"/>
        <v>4.1003001101451844</v>
      </c>
      <c r="BL101" s="87">
        <f t="shared" ca="1" si="218"/>
        <v>2.5263990613360963</v>
      </c>
      <c r="BM101" s="87">
        <f t="shared" ca="1" si="219"/>
        <v>2.6517510941527545</v>
      </c>
      <c r="BN101" s="87">
        <f t="shared" ca="1" si="220"/>
        <v>3.4157400642604561</v>
      </c>
      <c r="BO101" s="87">
        <f t="shared" ca="1" si="221"/>
        <v>3.3817432180050733</v>
      </c>
      <c r="BP101" s="87">
        <f t="shared" ca="1" si="222"/>
        <v>2.6548431791522571</v>
      </c>
      <c r="BQ101" s="87">
        <f t="shared" ca="1" si="223"/>
        <v>2.592060907169814</v>
      </c>
    </row>
    <row r="102" spans="1:69" x14ac:dyDescent="0.25">
      <c r="B102">
        <f t="shared" si="209"/>
        <v>98</v>
      </c>
      <c r="C102" s="86">
        <v>2018</v>
      </c>
      <c r="D102">
        <v>314</v>
      </c>
      <c r="E102">
        <v>275</v>
      </c>
      <c r="F102">
        <v>352</v>
      </c>
      <c r="G102">
        <v>1840</v>
      </c>
      <c r="H102">
        <v>0</v>
      </c>
      <c r="I102" s="86">
        <v>2018</v>
      </c>
      <c r="J102">
        <v>60</v>
      </c>
      <c r="K102">
        <v>53</v>
      </c>
      <c r="L102">
        <v>67</v>
      </c>
      <c r="N102" t="s">
        <v>105</v>
      </c>
      <c r="T102" s="69" t="s">
        <v>117</v>
      </c>
      <c r="U102">
        <v>0</v>
      </c>
      <c r="BD102">
        <f t="shared" si="210"/>
        <v>2030</v>
      </c>
      <c r="BE102" s="87">
        <f t="shared" ca="1" si="211"/>
        <v>3.0083248527998898</v>
      </c>
      <c r="BF102" s="87">
        <f t="shared" ca="1" si="212"/>
        <v>3.6167101010694602</v>
      </c>
      <c r="BG102" s="87">
        <f t="shared" ca="1" si="213"/>
        <v>9.4159075466210602</v>
      </c>
      <c r="BH102" s="87">
        <f t="shared" ca="1" si="214"/>
        <v>10.95192581280457</v>
      </c>
      <c r="BI102" s="87">
        <f t="shared" ca="1" si="215"/>
        <v>10.727141210580085</v>
      </c>
      <c r="BJ102" s="87">
        <f t="shared" ca="1" si="216"/>
        <v>18.049251528489567</v>
      </c>
      <c r="BK102" s="87">
        <f t="shared" ca="1" si="217"/>
        <v>4.2149758604247989</v>
      </c>
      <c r="BL102" s="87">
        <f t="shared" ca="1" si="218"/>
        <v>2.6288319449626063</v>
      </c>
      <c r="BM102" s="87">
        <f t="shared" ca="1" si="219"/>
        <v>2.8108273539298265</v>
      </c>
      <c r="BN102" s="87">
        <f t="shared" ca="1" si="220"/>
        <v>3.5893716767683808</v>
      </c>
      <c r="BO102" s="87">
        <f t="shared" ca="1" si="221"/>
        <v>3.5938714003592294</v>
      </c>
      <c r="BP102" s="87">
        <f t="shared" ca="1" si="222"/>
        <v>2.7374573959213317</v>
      </c>
      <c r="BQ102" s="87">
        <f t="shared" ca="1" si="223"/>
        <v>2.6215772914258793</v>
      </c>
    </row>
    <row r="103" spans="1:69" x14ac:dyDescent="0.25">
      <c r="B103">
        <f t="shared" si="209"/>
        <v>99</v>
      </c>
      <c r="C103" s="86">
        <v>2019</v>
      </c>
      <c r="D103">
        <v>334</v>
      </c>
      <c r="E103">
        <v>288</v>
      </c>
      <c r="F103">
        <v>378</v>
      </c>
      <c r="G103">
        <v>1840</v>
      </c>
      <c r="H103">
        <v>0</v>
      </c>
      <c r="I103" s="86">
        <v>2019</v>
      </c>
      <c r="J103">
        <v>63</v>
      </c>
      <c r="K103">
        <v>54</v>
      </c>
      <c r="L103">
        <v>71</v>
      </c>
      <c r="N103" t="s">
        <v>105</v>
      </c>
      <c r="T103" s="69" t="s">
        <v>118</v>
      </c>
      <c r="U103">
        <v>0</v>
      </c>
    </row>
    <row r="104" spans="1:69" x14ac:dyDescent="0.25">
      <c r="B104">
        <f t="shared" si="209"/>
        <v>100</v>
      </c>
      <c r="C104" s="86">
        <v>2020</v>
      </c>
      <c r="D104">
        <v>355</v>
      </c>
      <c r="E104">
        <v>301</v>
      </c>
      <c r="F104">
        <v>407</v>
      </c>
      <c r="G104">
        <v>1840</v>
      </c>
      <c r="H104">
        <v>0</v>
      </c>
      <c r="I104" s="86">
        <v>2020</v>
      </c>
      <c r="J104">
        <v>68</v>
      </c>
      <c r="K104">
        <v>58</v>
      </c>
      <c r="L104">
        <v>78</v>
      </c>
      <c r="N104">
        <f>G104/(G104+D104)</f>
        <v>0.8382687927107062</v>
      </c>
      <c r="T104" s="69" t="s">
        <v>119</v>
      </c>
      <c r="U104">
        <v>0</v>
      </c>
    </row>
    <row r="105" spans="1:69" x14ac:dyDescent="0.25">
      <c r="B105">
        <f t="shared" si="209"/>
        <v>101</v>
      </c>
      <c r="C105" s="86">
        <v>2021</v>
      </c>
      <c r="D105">
        <v>378</v>
      </c>
      <c r="E105">
        <v>316</v>
      </c>
      <c r="F105">
        <v>437</v>
      </c>
      <c r="G105">
        <v>1840</v>
      </c>
      <c r="H105">
        <v>0</v>
      </c>
      <c r="I105" s="86">
        <v>2021</v>
      </c>
      <c r="J105">
        <v>72</v>
      </c>
      <c r="K105">
        <v>60</v>
      </c>
      <c r="L105">
        <v>83</v>
      </c>
      <c r="N105" t="s">
        <v>105</v>
      </c>
      <c r="T105" s="69" t="s">
        <v>120</v>
      </c>
      <c r="U105">
        <v>0</v>
      </c>
    </row>
    <row r="106" spans="1:69" x14ac:dyDescent="0.25">
      <c r="B106">
        <f t="shared" si="209"/>
        <v>102</v>
      </c>
      <c r="C106" s="86">
        <v>2022</v>
      </c>
      <c r="D106">
        <v>402</v>
      </c>
      <c r="E106">
        <v>332</v>
      </c>
      <c r="F106">
        <v>469</v>
      </c>
      <c r="G106">
        <v>1840</v>
      </c>
      <c r="H106">
        <v>0</v>
      </c>
      <c r="I106" s="86">
        <v>2022</v>
      </c>
      <c r="J106">
        <v>77</v>
      </c>
      <c r="K106">
        <v>64</v>
      </c>
      <c r="L106">
        <v>90</v>
      </c>
      <c r="N106" t="s">
        <v>105</v>
      </c>
      <c r="T106" s="69" t="s">
        <v>121</v>
      </c>
      <c r="U106">
        <v>0</v>
      </c>
    </row>
    <row r="107" spans="1:69" x14ac:dyDescent="0.25">
      <c r="B107">
        <f t="shared" si="209"/>
        <v>103</v>
      </c>
      <c r="C107" s="86">
        <v>2023</v>
      </c>
      <c r="D107">
        <v>428</v>
      </c>
      <c r="E107">
        <v>349</v>
      </c>
      <c r="F107">
        <v>503</v>
      </c>
      <c r="G107">
        <v>1840</v>
      </c>
      <c r="H107">
        <v>0</v>
      </c>
      <c r="I107" s="86">
        <v>2023</v>
      </c>
      <c r="J107">
        <v>82</v>
      </c>
      <c r="K107">
        <v>67</v>
      </c>
      <c r="L107">
        <v>96</v>
      </c>
      <c r="N107" t="s">
        <v>105</v>
      </c>
      <c r="T107" s="69" t="s">
        <v>122</v>
      </c>
      <c r="U107">
        <v>0</v>
      </c>
    </row>
    <row r="108" spans="1:69" x14ac:dyDescent="0.25">
      <c r="B108">
        <f t="shared" si="209"/>
        <v>104</v>
      </c>
      <c r="C108" s="86">
        <v>2024</v>
      </c>
      <c r="D108">
        <v>455</v>
      </c>
      <c r="E108">
        <v>367</v>
      </c>
      <c r="F108">
        <v>540</v>
      </c>
      <c r="G108">
        <v>1840</v>
      </c>
      <c r="H108">
        <v>0</v>
      </c>
      <c r="I108" s="86">
        <v>2024</v>
      </c>
      <c r="J108">
        <v>87</v>
      </c>
      <c r="K108">
        <v>70</v>
      </c>
      <c r="L108">
        <v>103</v>
      </c>
      <c r="N108" t="s">
        <v>105</v>
      </c>
      <c r="T108" s="69" t="s">
        <v>123</v>
      </c>
      <c r="U108">
        <v>0</v>
      </c>
    </row>
    <row r="109" spans="1:69" x14ac:dyDescent="0.25">
      <c r="B109">
        <f t="shared" si="209"/>
        <v>105</v>
      </c>
      <c r="C109" s="86">
        <v>2025</v>
      </c>
      <c r="D109">
        <v>484</v>
      </c>
      <c r="E109">
        <v>387</v>
      </c>
      <c r="F109">
        <v>576</v>
      </c>
      <c r="G109">
        <v>1840</v>
      </c>
      <c r="H109">
        <v>0</v>
      </c>
      <c r="I109" s="86">
        <v>2025</v>
      </c>
      <c r="J109">
        <v>93</v>
      </c>
      <c r="K109">
        <v>74</v>
      </c>
      <c r="L109">
        <v>111</v>
      </c>
      <c r="N109">
        <f>G109/(G109+D109)</f>
        <v>0.79173838209982783</v>
      </c>
      <c r="T109" s="69" t="s">
        <v>124</v>
      </c>
      <c r="U109">
        <v>0</v>
      </c>
    </row>
    <row r="110" spans="1:69" x14ac:dyDescent="0.25">
      <c r="B110">
        <f t="shared" si="209"/>
        <v>106</v>
      </c>
    </row>
    <row r="111" spans="1:69" ht="45" x14ac:dyDescent="0.25">
      <c r="A111" s="103" t="s">
        <v>490</v>
      </c>
      <c r="B111">
        <f t="shared" si="209"/>
        <v>107</v>
      </c>
      <c r="D111" s="109" t="s">
        <v>493</v>
      </c>
      <c r="E111" s="109" t="s">
        <v>494</v>
      </c>
      <c r="F111" s="76" t="s">
        <v>152</v>
      </c>
      <c r="G111" s="71"/>
      <c r="H111" s="71"/>
      <c r="I111" s="75" t="s">
        <v>105</v>
      </c>
      <c r="J111" s="76" t="s">
        <v>150</v>
      </c>
      <c r="K111" s="76" t="s">
        <v>151</v>
      </c>
      <c r="L111" s="76" t="s">
        <v>152</v>
      </c>
      <c r="M111" s="96"/>
      <c r="N111" s="71" t="s">
        <v>148</v>
      </c>
      <c r="O111" s="71" t="s">
        <v>149</v>
      </c>
      <c r="P111" s="71" t="s">
        <v>147</v>
      </c>
      <c r="Q111" s="71" t="s">
        <v>156</v>
      </c>
      <c r="R111" s="71" t="s">
        <v>159</v>
      </c>
      <c r="T111" s="78" t="s">
        <v>154</v>
      </c>
      <c r="U111" s="71"/>
    </row>
    <row r="112" spans="1:69" x14ac:dyDescent="0.25">
      <c r="A112" s="108" t="s">
        <v>78</v>
      </c>
      <c r="B112">
        <f t="shared" si="209"/>
        <v>108</v>
      </c>
      <c r="D112" s="69" t="s">
        <v>109</v>
      </c>
      <c r="E112" s="69" t="s">
        <v>109</v>
      </c>
      <c r="F112" s="69" t="s">
        <v>109</v>
      </c>
      <c r="I112" s="68" t="s">
        <v>105</v>
      </c>
      <c r="J112" s="69" t="s">
        <v>125</v>
      </c>
      <c r="K112" s="69" t="s">
        <v>125</v>
      </c>
      <c r="L112" s="69" t="s">
        <v>125</v>
      </c>
      <c r="M112" s="97"/>
      <c r="N112" s="69" t="s">
        <v>109</v>
      </c>
      <c r="O112" s="69" t="s">
        <v>125</v>
      </c>
      <c r="P112" s="69" t="s">
        <v>11</v>
      </c>
      <c r="Q112" s="69" t="s">
        <v>157</v>
      </c>
      <c r="R112" s="69" t="s">
        <v>157</v>
      </c>
      <c r="T112" s="69"/>
      <c r="U112" s="69" t="s">
        <v>157</v>
      </c>
    </row>
    <row r="113" spans="1:21" x14ac:dyDescent="0.25">
      <c r="A113" t="s">
        <v>29</v>
      </c>
      <c r="B113">
        <f t="shared" si="209"/>
        <v>109</v>
      </c>
      <c r="C113" s="86" t="s">
        <v>168</v>
      </c>
      <c r="D113">
        <v>1136</v>
      </c>
      <c r="E113">
        <v>1098</v>
      </c>
      <c r="F113">
        <v>1173</v>
      </c>
      <c r="G113">
        <v>0</v>
      </c>
      <c r="H113">
        <v>0</v>
      </c>
      <c r="I113" s="86" t="s">
        <v>168</v>
      </c>
      <c r="J113">
        <v>199</v>
      </c>
      <c r="K113">
        <v>192</v>
      </c>
      <c r="L113">
        <v>205</v>
      </c>
      <c r="M113" s="97">
        <f>N113/(O113*8.76)</f>
        <v>0.62986163695188269</v>
      </c>
      <c r="N113">
        <f>E113</f>
        <v>1098</v>
      </c>
      <c r="O113">
        <f>J113</f>
        <v>199</v>
      </c>
      <c r="P113" s="81">
        <f>1-78.3%</f>
        <v>0.21700000000000008</v>
      </c>
      <c r="T113" s="69" t="s">
        <v>110</v>
      </c>
      <c r="U113">
        <v>0</v>
      </c>
    </row>
    <row r="114" spans="1:21" x14ac:dyDescent="0.25">
      <c r="B114">
        <f t="shared" si="209"/>
        <v>110</v>
      </c>
      <c r="C114" s="86">
        <v>2012</v>
      </c>
      <c r="D114">
        <v>1232</v>
      </c>
      <c r="E114">
        <v>1174</v>
      </c>
      <c r="F114">
        <v>1361</v>
      </c>
      <c r="G114">
        <v>0</v>
      </c>
      <c r="H114">
        <v>0</v>
      </c>
      <c r="I114" s="86">
        <v>2012</v>
      </c>
      <c r="J114">
        <v>216</v>
      </c>
      <c r="K114">
        <v>206</v>
      </c>
      <c r="L114">
        <v>236</v>
      </c>
      <c r="M114" s="94" t="s">
        <v>105</v>
      </c>
      <c r="P114" t="s">
        <v>488</v>
      </c>
      <c r="T114" s="69" t="s">
        <v>111</v>
      </c>
      <c r="U114">
        <v>0</v>
      </c>
    </row>
    <row r="115" spans="1:21" x14ac:dyDescent="0.25">
      <c r="B115">
        <f t="shared" si="209"/>
        <v>111</v>
      </c>
      <c r="C115" s="86">
        <v>2013</v>
      </c>
      <c r="D115">
        <v>1382</v>
      </c>
      <c r="E115">
        <v>1233</v>
      </c>
      <c r="F115">
        <v>2109</v>
      </c>
      <c r="G115">
        <v>0</v>
      </c>
      <c r="H115">
        <v>0</v>
      </c>
      <c r="I115" s="86">
        <v>2013</v>
      </c>
      <c r="J115">
        <v>240</v>
      </c>
      <c r="K115">
        <v>216</v>
      </c>
      <c r="L115">
        <v>346</v>
      </c>
      <c r="M115" s="94" t="s">
        <v>105</v>
      </c>
      <c r="P115" s="21">
        <f ca="1">INDIRECT(A113&amp;"!c10")</f>
        <v>0.15</v>
      </c>
      <c r="T115" s="69" t="s">
        <v>112</v>
      </c>
      <c r="U115">
        <v>0</v>
      </c>
    </row>
    <row r="116" spans="1:21" x14ac:dyDescent="0.25">
      <c r="B116">
        <f t="shared" si="209"/>
        <v>112</v>
      </c>
      <c r="C116" s="86">
        <v>2014</v>
      </c>
      <c r="D116">
        <v>2111</v>
      </c>
      <c r="E116">
        <v>1294</v>
      </c>
      <c r="F116">
        <v>2235</v>
      </c>
      <c r="G116">
        <v>0</v>
      </c>
      <c r="H116">
        <v>0</v>
      </c>
      <c r="I116" s="86">
        <v>2014</v>
      </c>
      <c r="J116">
        <v>346</v>
      </c>
      <c r="K116">
        <v>227</v>
      </c>
      <c r="L116">
        <v>367</v>
      </c>
      <c r="M116" s="94" t="s">
        <v>105</v>
      </c>
      <c r="T116" s="69" t="s">
        <v>113</v>
      </c>
      <c r="U116">
        <v>0</v>
      </c>
    </row>
    <row r="117" spans="1:21" x14ac:dyDescent="0.25">
      <c r="B117">
        <f t="shared" si="209"/>
        <v>113</v>
      </c>
      <c r="C117" s="86">
        <v>2015</v>
      </c>
      <c r="D117">
        <v>2226</v>
      </c>
      <c r="E117">
        <v>1434</v>
      </c>
      <c r="F117">
        <v>2936</v>
      </c>
      <c r="G117">
        <v>0</v>
      </c>
      <c r="H117">
        <v>0</v>
      </c>
      <c r="I117" s="86">
        <v>2015</v>
      </c>
      <c r="J117">
        <v>366</v>
      </c>
      <c r="K117">
        <v>249</v>
      </c>
      <c r="L117">
        <v>471</v>
      </c>
      <c r="M117" s="94" t="s">
        <v>105</v>
      </c>
      <c r="T117" s="69" t="s">
        <v>114</v>
      </c>
      <c r="U117">
        <v>0</v>
      </c>
    </row>
    <row r="118" spans="1:21" x14ac:dyDescent="0.25">
      <c r="B118">
        <f t="shared" si="209"/>
        <v>114</v>
      </c>
      <c r="C118" s="86">
        <v>2016</v>
      </c>
      <c r="D118">
        <v>2896</v>
      </c>
      <c r="E118">
        <v>2144</v>
      </c>
      <c r="F118">
        <v>3050</v>
      </c>
      <c r="G118">
        <v>0</v>
      </c>
      <c r="H118">
        <v>0</v>
      </c>
      <c r="I118" s="86">
        <v>2016</v>
      </c>
      <c r="J118">
        <v>464</v>
      </c>
      <c r="K118">
        <v>352</v>
      </c>
      <c r="L118">
        <v>491</v>
      </c>
      <c r="M118" s="94" t="s">
        <v>105</v>
      </c>
      <c r="T118" s="69" t="s">
        <v>115</v>
      </c>
      <c r="U118">
        <v>0</v>
      </c>
    </row>
    <row r="119" spans="1:21" x14ac:dyDescent="0.25">
      <c r="B119">
        <f t="shared" si="209"/>
        <v>115</v>
      </c>
      <c r="C119" s="86">
        <v>2017</v>
      </c>
      <c r="D119">
        <v>2997</v>
      </c>
      <c r="E119">
        <v>2239</v>
      </c>
      <c r="F119">
        <v>3195</v>
      </c>
      <c r="G119">
        <v>0</v>
      </c>
      <c r="H119">
        <v>0</v>
      </c>
      <c r="I119" s="86">
        <v>2017</v>
      </c>
      <c r="J119">
        <v>482</v>
      </c>
      <c r="K119">
        <v>368</v>
      </c>
      <c r="L119">
        <v>516</v>
      </c>
      <c r="M119" s="94" t="s">
        <v>105</v>
      </c>
      <c r="T119" s="69" t="s">
        <v>116</v>
      </c>
      <c r="U119">
        <v>0</v>
      </c>
    </row>
    <row r="120" spans="1:21" x14ac:dyDescent="0.25">
      <c r="B120">
        <f t="shared" si="209"/>
        <v>116</v>
      </c>
      <c r="C120" s="86">
        <v>2018</v>
      </c>
      <c r="D120">
        <v>3153</v>
      </c>
      <c r="E120">
        <v>2930</v>
      </c>
      <c r="F120">
        <v>3367</v>
      </c>
      <c r="G120">
        <v>0</v>
      </c>
      <c r="H120">
        <v>0</v>
      </c>
      <c r="I120" s="86">
        <v>2018</v>
      </c>
      <c r="J120">
        <v>509</v>
      </c>
      <c r="K120">
        <v>470</v>
      </c>
      <c r="L120">
        <v>546</v>
      </c>
      <c r="M120" s="94" t="s">
        <v>105</v>
      </c>
      <c r="T120" s="69" t="s">
        <v>117</v>
      </c>
      <c r="U120">
        <v>0</v>
      </c>
    </row>
    <row r="121" spans="1:21" x14ac:dyDescent="0.25">
      <c r="B121">
        <f t="shared" si="209"/>
        <v>117</v>
      </c>
      <c r="C121" s="86">
        <v>2019</v>
      </c>
      <c r="D121">
        <v>3248</v>
      </c>
      <c r="E121">
        <v>2999</v>
      </c>
      <c r="F121">
        <v>3545</v>
      </c>
      <c r="G121">
        <v>0</v>
      </c>
      <c r="H121">
        <v>0</v>
      </c>
      <c r="I121" s="86">
        <v>2019</v>
      </c>
      <c r="J121">
        <v>525</v>
      </c>
      <c r="K121">
        <v>482</v>
      </c>
      <c r="L121">
        <v>576</v>
      </c>
      <c r="M121" s="94" t="s">
        <v>105</v>
      </c>
      <c r="T121" s="69" t="s">
        <v>118</v>
      </c>
      <c r="U121">
        <v>0</v>
      </c>
    </row>
    <row r="122" spans="1:21" x14ac:dyDescent="0.25">
      <c r="B122">
        <f t="shared" si="209"/>
        <v>118</v>
      </c>
      <c r="C122" s="86">
        <v>2020</v>
      </c>
      <c r="D122">
        <v>3398</v>
      </c>
      <c r="E122">
        <v>3085</v>
      </c>
      <c r="F122">
        <v>3757</v>
      </c>
      <c r="G122">
        <v>0</v>
      </c>
      <c r="H122">
        <v>0</v>
      </c>
      <c r="I122" s="86">
        <v>2020</v>
      </c>
      <c r="J122">
        <v>550</v>
      </c>
      <c r="K122">
        <v>497</v>
      </c>
      <c r="L122">
        <v>610</v>
      </c>
      <c r="M122" s="94" t="s">
        <v>105</v>
      </c>
      <c r="T122" s="69" t="s">
        <v>119</v>
      </c>
      <c r="U122">
        <v>0</v>
      </c>
    </row>
    <row r="123" spans="1:21" x14ac:dyDescent="0.25">
      <c r="B123">
        <f t="shared" si="209"/>
        <v>119</v>
      </c>
      <c r="C123" s="86">
        <v>2021</v>
      </c>
      <c r="D123">
        <v>3567</v>
      </c>
      <c r="E123">
        <v>3155</v>
      </c>
      <c r="F123">
        <v>3975</v>
      </c>
      <c r="G123">
        <v>0</v>
      </c>
      <c r="H123">
        <v>0</v>
      </c>
      <c r="I123" s="86">
        <v>2021</v>
      </c>
      <c r="J123">
        <v>577</v>
      </c>
      <c r="K123">
        <v>509</v>
      </c>
      <c r="L123">
        <v>645</v>
      </c>
      <c r="M123" s="94" t="s">
        <v>105</v>
      </c>
      <c r="T123" s="69" t="s">
        <v>120</v>
      </c>
      <c r="U123">
        <v>0</v>
      </c>
    </row>
    <row r="124" spans="1:21" x14ac:dyDescent="0.25">
      <c r="B124">
        <f t="shared" si="209"/>
        <v>120</v>
      </c>
      <c r="C124" s="86">
        <v>2022</v>
      </c>
      <c r="D124">
        <v>3740</v>
      </c>
      <c r="E124">
        <v>3279</v>
      </c>
      <c r="F124">
        <v>4200</v>
      </c>
      <c r="G124">
        <v>0</v>
      </c>
      <c r="H124">
        <v>0</v>
      </c>
      <c r="I124" s="86">
        <v>2022</v>
      </c>
      <c r="J124">
        <v>605</v>
      </c>
      <c r="K124">
        <v>529</v>
      </c>
      <c r="L124">
        <v>682</v>
      </c>
      <c r="M124" s="94" t="s">
        <v>105</v>
      </c>
      <c r="T124" s="69" t="s">
        <v>121</v>
      </c>
      <c r="U124">
        <v>0</v>
      </c>
    </row>
    <row r="125" spans="1:21" x14ac:dyDescent="0.25">
      <c r="B125">
        <f t="shared" si="209"/>
        <v>121</v>
      </c>
      <c r="C125" s="86">
        <v>2023</v>
      </c>
      <c r="D125">
        <v>3916</v>
      </c>
      <c r="E125">
        <v>3405</v>
      </c>
      <c r="F125">
        <v>4431</v>
      </c>
      <c r="G125">
        <v>0</v>
      </c>
      <c r="H125">
        <v>0</v>
      </c>
      <c r="I125" s="86">
        <v>2023</v>
      </c>
      <c r="J125">
        <v>634</v>
      </c>
      <c r="K125">
        <v>549</v>
      </c>
      <c r="L125">
        <v>719</v>
      </c>
      <c r="M125" s="94" t="s">
        <v>105</v>
      </c>
      <c r="T125" s="69" t="s">
        <v>122</v>
      </c>
      <c r="U125">
        <v>0</v>
      </c>
    </row>
    <row r="126" spans="1:21" x14ac:dyDescent="0.25">
      <c r="B126">
        <f t="shared" si="209"/>
        <v>122</v>
      </c>
      <c r="C126" s="86">
        <v>2024</v>
      </c>
      <c r="D126">
        <v>4097</v>
      </c>
      <c r="E126">
        <v>3534</v>
      </c>
      <c r="F126">
        <v>4668</v>
      </c>
      <c r="G126">
        <v>0</v>
      </c>
      <c r="H126">
        <v>0</v>
      </c>
      <c r="I126" s="86">
        <v>2024</v>
      </c>
      <c r="J126">
        <v>663</v>
      </c>
      <c r="K126">
        <v>570</v>
      </c>
      <c r="L126">
        <v>758</v>
      </c>
      <c r="M126" s="94" t="s">
        <v>105</v>
      </c>
      <c r="T126" s="69" t="s">
        <v>123</v>
      </c>
      <c r="U126">
        <v>0</v>
      </c>
    </row>
    <row r="127" spans="1:21" x14ac:dyDescent="0.25">
      <c r="B127">
        <f t="shared" si="209"/>
        <v>123</v>
      </c>
      <c r="C127" s="86">
        <v>2025</v>
      </c>
      <c r="D127">
        <v>4282</v>
      </c>
      <c r="E127">
        <v>3665</v>
      </c>
      <c r="F127">
        <v>4912</v>
      </c>
      <c r="G127">
        <v>0</v>
      </c>
      <c r="H127">
        <v>0</v>
      </c>
      <c r="I127" s="86">
        <v>2025</v>
      </c>
      <c r="J127">
        <v>693</v>
      </c>
      <c r="K127">
        <v>591</v>
      </c>
      <c r="L127">
        <v>798</v>
      </c>
      <c r="M127" s="94" t="s">
        <v>105</v>
      </c>
      <c r="T127" s="69" t="s">
        <v>124</v>
      </c>
      <c r="U127">
        <v>0</v>
      </c>
    </row>
    <row r="128" spans="1:21" x14ac:dyDescent="0.25">
      <c r="B128">
        <f t="shared" si="209"/>
        <v>124</v>
      </c>
    </row>
    <row r="129" spans="1:21" ht="45" x14ac:dyDescent="0.25">
      <c r="B129">
        <f t="shared" si="209"/>
        <v>125</v>
      </c>
      <c r="D129" s="109" t="s">
        <v>493</v>
      </c>
      <c r="E129" s="109" t="s">
        <v>494</v>
      </c>
      <c r="F129" s="109" t="s">
        <v>497</v>
      </c>
      <c r="G129" s="71"/>
      <c r="H129" s="71"/>
      <c r="I129" s="75" t="s">
        <v>105</v>
      </c>
      <c r="J129" s="76" t="s">
        <v>150</v>
      </c>
      <c r="K129" s="76" t="s">
        <v>151</v>
      </c>
      <c r="L129" s="76" t="s">
        <v>152</v>
      </c>
      <c r="M129" s="96"/>
      <c r="N129" s="71" t="s">
        <v>148</v>
      </c>
      <c r="O129" s="71" t="s">
        <v>149</v>
      </c>
      <c r="P129" s="71" t="s">
        <v>147</v>
      </c>
      <c r="Q129" s="71" t="s">
        <v>156</v>
      </c>
      <c r="R129" s="71" t="s">
        <v>159</v>
      </c>
      <c r="T129" s="78" t="s">
        <v>154</v>
      </c>
      <c r="U129" s="71"/>
    </row>
    <row r="130" spans="1:21" x14ac:dyDescent="0.25">
      <c r="A130" s="108" t="s">
        <v>169</v>
      </c>
      <c r="B130">
        <f t="shared" si="209"/>
        <v>126</v>
      </c>
      <c r="D130" s="69" t="s">
        <v>109</v>
      </c>
      <c r="E130" s="69" t="s">
        <v>109</v>
      </c>
      <c r="F130" s="69" t="s">
        <v>109</v>
      </c>
      <c r="I130" s="68" t="s">
        <v>105</v>
      </c>
      <c r="J130" s="69" t="s">
        <v>125</v>
      </c>
      <c r="K130" s="69" t="s">
        <v>125</v>
      </c>
      <c r="L130" s="69" t="s">
        <v>125</v>
      </c>
      <c r="M130" s="97"/>
      <c r="N130" s="69" t="s">
        <v>109</v>
      </c>
      <c r="O130" s="69" t="s">
        <v>125</v>
      </c>
      <c r="P130" s="69" t="s">
        <v>11</v>
      </c>
      <c r="Q130" s="69" t="s">
        <v>157</v>
      </c>
      <c r="R130" s="69" t="s">
        <v>157</v>
      </c>
      <c r="T130" s="69"/>
      <c r="U130" s="69" t="s">
        <v>157</v>
      </c>
    </row>
    <row r="131" spans="1:21" x14ac:dyDescent="0.25">
      <c r="A131" t="s">
        <v>62</v>
      </c>
      <c r="B131">
        <f t="shared" si="209"/>
        <v>127</v>
      </c>
      <c r="C131" s="86" t="s">
        <v>168</v>
      </c>
      <c r="D131">
        <v>6005</v>
      </c>
      <c r="E131">
        <v>5859</v>
      </c>
      <c r="F131">
        <v>6119</v>
      </c>
      <c r="G131">
        <v>0</v>
      </c>
      <c r="H131">
        <v>0</v>
      </c>
      <c r="I131" s="86" t="s">
        <v>168</v>
      </c>
      <c r="J131" s="82">
        <v>968</v>
      </c>
      <c r="K131" s="82">
        <v>945</v>
      </c>
      <c r="L131" s="82">
        <v>987</v>
      </c>
      <c r="M131" s="97">
        <f>N131/(O131*8.76)</f>
        <v>0.72767714091163982</v>
      </c>
      <c r="N131">
        <f>(5768+E131)/2</f>
        <v>5813.5</v>
      </c>
      <c r="O131">
        <v>912</v>
      </c>
      <c r="P131" s="94">
        <f>1-(1-5%)*(1-18%)</f>
        <v>0.22099999999999997</v>
      </c>
      <c r="Q131">
        <v>0</v>
      </c>
      <c r="R131" s="84">
        <v>435.32877186208981</v>
      </c>
      <c r="T131" s="69" t="s">
        <v>110</v>
      </c>
      <c r="U131" s="84">
        <v>256.97650025639376</v>
      </c>
    </row>
    <row r="132" spans="1:21" x14ac:dyDescent="0.25">
      <c r="B132">
        <f t="shared" si="209"/>
        <v>128</v>
      </c>
      <c r="C132" s="86">
        <v>2012</v>
      </c>
      <c r="D132">
        <v>6390</v>
      </c>
      <c r="E132">
        <v>6131</v>
      </c>
      <c r="F132">
        <v>6567</v>
      </c>
      <c r="G132">
        <v>0</v>
      </c>
      <c r="H132">
        <v>0</v>
      </c>
      <c r="I132" s="86">
        <v>2012</v>
      </c>
      <c r="J132" s="82">
        <v>1030</v>
      </c>
      <c r="K132" s="82">
        <v>989</v>
      </c>
      <c r="L132" s="82">
        <v>1059</v>
      </c>
      <c r="M132" s="94" t="s">
        <v>105</v>
      </c>
      <c r="P132" t="s">
        <v>488</v>
      </c>
      <c r="T132" s="69" t="s">
        <v>111</v>
      </c>
      <c r="U132" s="84">
        <v>193.81757197324731</v>
      </c>
    </row>
    <row r="133" spans="1:21" x14ac:dyDescent="0.25">
      <c r="B133">
        <f t="shared" si="209"/>
        <v>129</v>
      </c>
      <c r="C133" s="86">
        <v>2013</v>
      </c>
      <c r="D133">
        <v>6799</v>
      </c>
      <c r="E133">
        <v>6410</v>
      </c>
      <c r="F133">
        <v>7043</v>
      </c>
      <c r="G133">
        <v>0</v>
      </c>
      <c r="H133">
        <v>0</v>
      </c>
      <c r="I133" s="86">
        <v>2013</v>
      </c>
      <c r="J133" s="82">
        <v>1096</v>
      </c>
      <c r="K133" s="82">
        <v>1034</v>
      </c>
      <c r="L133" s="82">
        <v>1136</v>
      </c>
      <c r="M133" s="94" t="s">
        <v>105</v>
      </c>
      <c r="P133" s="21">
        <f ca="1">INDIRECT(A131&amp;"!c10")</f>
        <v>0.15</v>
      </c>
      <c r="T133" s="69" t="s">
        <v>112</v>
      </c>
      <c r="U133" s="84">
        <v>146.18165928839733</v>
      </c>
    </row>
    <row r="134" spans="1:21" x14ac:dyDescent="0.25">
      <c r="B134">
        <f t="shared" si="209"/>
        <v>130</v>
      </c>
      <c r="C134" s="86">
        <v>2014</v>
      </c>
      <c r="D134">
        <v>7245</v>
      </c>
      <c r="E134">
        <v>6696</v>
      </c>
      <c r="F134">
        <v>7561</v>
      </c>
      <c r="G134">
        <v>0</v>
      </c>
      <c r="H134">
        <v>0</v>
      </c>
      <c r="I134" s="86">
        <v>2014</v>
      </c>
      <c r="J134" s="82">
        <v>1168</v>
      </c>
      <c r="K134" s="82">
        <v>1080</v>
      </c>
      <c r="L134" s="82">
        <v>1219</v>
      </c>
      <c r="M134" s="94" t="s">
        <v>105</v>
      </c>
      <c r="T134" s="69" t="s">
        <v>113</v>
      </c>
      <c r="U134" s="84">
        <v>110.2535610922763</v>
      </c>
    </row>
    <row r="135" spans="1:21" x14ac:dyDescent="0.25">
      <c r="B135">
        <f t="shared" ref="B135:B198" si="224">B134+1</f>
        <v>131</v>
      </c>
      <c r="C135" s="86">
        <v>2015</v>
      </c>
      <c r="D135">
        <v>7731</v>
      </c>
      <c r="E135">
        <v>6990</v>
      </c>
      <c r="F135">
        <v>8123</v>
      </c>
      <c r="G135">
        <v>0</v>
      </c>
      <c r="H135">
        <v>0</v>
      </c>
      <c r="I135" s="86">
        <v>2015</v>
      </c>
      <c r="J135" s="82">
        <v>1247</v>
      </c>
      <c r="K135" s="82">
        <v>1127</v>
      </c>
      <c r="L135" s="82">
        <v>1310</v>
      </c>
      <c r="M135" s="94" t="s">
        <v>105</v>
      </c>
      <c r="T135" s="69" t="s">
        <v>114</v>
      </c>
      <c r="U135" s="84">
        <v>83.155765180817937</v>
      </c>
    </row>
    <row r="136" spans="1:21" x14ac:dyDescent="0.25">
      <c r="B136">
        <f t="shared" si="224"/>
        <v>132</v>
      </c>
      <c r="C136" s="86">
        <v>2016</v>
      </c>
      <c r="D136">
        <v>8197</v>
      </c>
      <c r="E136">
        <v>7291</v>
      </c>
      <c r="F136">
        <v>8669</v>
      </c>
      <c r="G136">
        <v>0</v>
      </c>
      <c r="H136">
        <v>0</v>
      </c>
      <c r="I136" s="86">
        <v>2016</v>
      </c>
      <c r="J136" s="82">
        <v>1322</v>
      </c>
      <c r="K136" s="82">
        <v>1176</v>
      </c>
      <c r="L136" s="82">
        <v>1398</v>
      </c>
      <c r="M136" s="94" t="s">
        <v>105</v>
      </c>
      <c r="P136" s="94"/>
      <c r="T136" s="69" t="s">
        <v>115</v>
      </c>
      <c r="U136" s="84">
        <v>62.717985834670223</v>
      </c>
    </row>
    <row r="137" spans="1:21" x14ac:dyDescent="0.25">
      <c r="B137">
        <f t="shared" si="224"/>
        <v>133</v>
      </c>
      <c r="C137" s="86">
        <v>2017</v>
      </c>
      <c r="D137">
        <v>8680</v>
      </c>
      <c r="E137">
        <v>7600</v>
      </c>
      <c r="F137">
        <v>9238</v>
      </c>
      <c r="G137">
        <v>0</v>
      </c>
      <c r="H137">
        <v>0</v>
      </c>
      <c r="I137" s="86">
        <v>2017</v>
      </c>
      <c r="J137" s="82">
        <v>1400</v>
      </c>
      <c r="K137" s="82">
        <v>1225</v>
      </c>
      <c r="L137" s="82">
        <v>1490</v>
      </c>
      <c r="M137" s="94" t="s">
        <v>105</v>
      </c>
      <c r="T137" s="69" t="s">
        <v>116</v>
      </c>
      <c r="U137" s="84">
        <v>47.303343774236239</v>
      </c>
    </row>
    <row r="138" spans="1:21" x14ac:dyDescent="0.25">
      <c r="B138">
        <f t="shared" si="224"/>
        <v>134</v>
      </c>
      <c r="C138" s="86">
        <v>2018</v>
      </c>
      <c r="D138">
        <v>9182</v>
      </c>
      <c r="E138">
        <v>7917</v>
      </c>
      <c r="F138">
        <v>9831</v>
      </c>
      <c r="G138">
        <v>0</v>
      </c>
      <c r="H138">
        <v>0</v>
      </c>
      <c r="I138" s="86">
        <v>2018</v>
      </c>
      <c r="J138" s="82">
        <v>1480</v>
      </c>
      <c r="K138" s="82">
        <v>1276</v>
      </c>
      <c r="L138" s="82">
        <v>1585</v>
      </c>
      <c r="M138" s="94" t="s">
        <v>105</v>
      </c>
      <c r="T138" s="69" t="s">
        <v>117</v>
      </c>
      <c r="U138" s="84">
        <v>35.677267094037248</v>
      </c>
    </row>
    <row r="139" spans="1:21" x14ac:dyDescent="0.25">
      <c r="B139">
        <f t="shared" si="224"/>
        <v>135</v>
      </c>
      <c r="C139" s="86">
        <v>2019</v>
      </c>
      <c r="D139">
        <v>9703</v>
      </c>
      <c r="E139">
        <v>8241</v>
      </c>
      <c r="F139">
        <v>10449</v>
      </c>
      <c r="G139">
        <v>0</v>
      </c>
      <c r="H139">
        <v>0</v>
      </c>
      <c r="I139" s="86">
        <v>2019</v>
      </c>
      <c r="J139" s="82">
        <v>1564</v>
      </c>
      <c r="K139" s="82">
        <v>1329</v>
      </c>
      <c r="L139" s="82">
        <v>1685</v>
      </c>
      <c r="M139" s="94" t="s">
        <v>105</v>
      </c>
      <c r="T139" s="69" t="s">
        <v>118</v>
      </c>
      <c r="U139" s="84">
        <v>26.908613339772824</v>
      </c>
    </row>
    <row r="140" spans="1:21" x14ac:dyDescent="0.25">
      <c r="B140">
        <f t="shared" si="224"/>
        <v>136</v>
      </c>
      <c r="C140" s="86">
        <v>2020</v>
      </c>
      <c r="D140">
        <v>10244</v>
      </c>
      <c r="E140">
        <v>8574</v>
      </c>
      <c r="F140">
        <v>11093</v>
      </c>
      <c r="G140">
        <v>0</v>
      </c>
      <c r="H140">
        <v>0</v>
      </c>
      <c r="I140" s="86">
        <v>2020</v>
      </c>
      <c r="J140" s="82">
        <v>1652</v>
      </c>
      <c r="K140" s="82">
        <v>1382</v>
      </c>
      <c r="L140" s="82">
        <v>1789</v>
      </c>
      <c r="M140" s="94" t="s">
        <v>105</v>
      </c>
      <c r="T140" s="69" t="s">
        <v>119</v>
      </c>
      <c r="U140" s="84">
        <v>20.295093510411132</v>
      </c>
    </row>
    <row r="141" spans="1:21" x14ac:dyDescent="0.25">
      <c r="B141">
        <f t="shared" si="224"/>
        <v>137</v>
      </c>
      <c r="C141" s="86">
        <v>2021</v>
      </c>
      <c r="D141">
        <v>10807</v>
      </c>
      <c r="E141">
        <v>8915</v>
      </c>
      <c r="F141">
        <v>11764</v>
      </c>
      <c r="G141">
        <v>0</v>
      </c>
      <c r="H141">
        <v>0</v>
      </c>
      <c r="I141" s="86">
        <v>2021</v>
      </c>
      <c r="J141" s="82">
        <v>1742</v>
      </c>
      <c r="K141" s="82">
        <v>1437</v>
      </c>
      <c r="L141" s="82">
        <v>1897</v>
      </c>
      <c r="M141" s="94" t="s">
        <v>105</v>
      </c>
      <c r="T141" s="69" t="s">
        <v>120</v>
      </c>
      <c r="U141" s="84">
        <v>15.30702512966465</v>
      </c>
    </row>
    <row r="142" spans="1:21" x14ac:dyDescent="0.25">
      <c r="B142">
        <f t="shared" si="224"/>
        <v>138</v>
      </c>
      <c r="C142" s="86">
        <v>2022</v>
      </c>
      <c r="D142">
        <v>11391</v>
      </c>
      <c r="E142">
        <v>9265</v>
      </c>
      <c r="F142">
        <v>12463</v>
      </c>
      <c r="G142">
        <v>0</v>
      </c>
      <c r="H142">
        <v>0</v>
      </c>
      <c r="I142" s="86">
        <v>2022</v>
      </c>
      <c r="J142" s="82">
        <v>1837</v>
      </c>
      <c r="K142" s="82">
        <v>1494</v>
      </c>
      <c r="L142" s="82">
        <v>2009</v>
      </c>
      <c r="M142" s="94" t="s">
        <v>105</v>
      </c>
      <c r="T142" s="69" t="s">
        <v>121</v>
      </c>
      <c r="U142" s="84">
        <v>11.544909522096537</v>
      </c>
    </row>
    <row r="143" spans="1:21" x14ac:dyDescent="0.25">
      <c r="B143">
        <f t="shared" si="224"/>
        <v>139</v>
      </c>
      <c r="C143" s="86">
        <v>2023</v>
      </c>
      <c r="D143">
        <v>11998</v>
      </c>
      <c r="E143">
        <v>9624</v>
      </c>
      <c r="F143">
        <v>13191</v>
      </c>
      <c r="G143">
        <v>0</v>
      </c>
      <c r="H143">
        <v>0</v>
      </c>
      <c r="I143" s="86">
        <v>2023</v>
      </c>
      <c r="J143" s="82">
        <v>1934</v>
      </c>
      <c r="K143" s="82">
        <v>1552</v>
      </c>
      <c r="L143" s="82">
        <v>2127</v>
      </c>
      <c r="M143" s="94" t="s">
        <v>105</v>
      </c>
      <c r="T143" s="69" t="s">
        <v>122</v>
      </c>
      <c r="U143" s="84">
        <v>8.7074356215102995</v>
      </c>
    </row>
    <row r="144" spans="1:21" x14ac:dyDescent="0.25">
      <c r="B144">
        <f t="shared" si="224"/>
        <v>140</v>
      </c>
      <c r="C144" s="86">
        <v>2024</v>
      </c>
      <c r="D144">
        <v>12628</v>
      </c>
      <c r="E144">
        <v>9992</v>
      </c>
      <c r="F144">
        <v>13951</v>
      </c>
      <c r="G144">
        <v>0</v>
      </c>
      <c r="H144">
        <v>0</v>
      </c>
      <c r="I144" s="86">
        <v>2024</v>
      </c>
      <c r="J144" s="82">
        <v>2036</v>
      </c>
      <c r="K144" s="82">
        <v>1611</v>
      </c>
      <c r="L144" s="82">
        <v>2249</v>
      </c>
      <c r="M144" s="94" t="s">
        <v>105</v>
      </c>
      <c r="T144" s="69" t="s">
        <v>123</v>
      </c>
      <c r="U144" s="84">
        <v>6.5673477091899954</v>
      </c>
    </row>
    <row r="145" spans="1:21" x14ac:dyDescent="0.25">
      <c r="B145">
        <f t="shared" si="224"/>
        <v>141</v>
      </c>
      <c r="C145" s="86">
        <v>2025</v>
      </c>
      <c r="D145">
        <v>13284</v>
      </c>
      <c r="E145">
        <v>10369</v>
      </c>
      <c r="F145">
        <v>14742</v>
      </c>
      <c r="G145">
        <v>0</v>
      </c>
      <c r="H145">
        <v>0</v>
      </c>
      <c r="I145" s="86">
        <v>2025</v>
      </c>
      <c r="J145" s="82">
        <v>2142</v>
      </c>
      <c r="K145" s="82">
        <v>1672</v>
      </c>
      <c r="L145" s="82">
        <v>2377</v>
      </c>
      <c r="M145" s="94" t="s">
        <v>105</v>
      </c>
      <c r="T145" s="69" t="s">
        <v>124</v>
      </c>
      <c r="U145" s="84">
        <v>4.9532443084456821</v>
      </c>
    </row>
    <row r="146" spans="1:21" x14ac:dyDescent="0.25">
      <c r="B146">
        <f t="shared" si="224"/>
        <v>142</v>
      </c>
    </row>
    <row r="147" spans="1:21" ht="45" x14ac:dyDescent="0.25">
      <c r="B147">
        <f t="shared" si="224"/>
        <v>143</v>
      </c>
      <c r="D147" s="109" t="s">
        <v>493</v>
      </c>
      <c r="E147" s="109" t="s">
        <v>494</v>
      </c>
      <c r="F147" s="76" t="s">
        <v>152</v>
      </c>
      <c r="G147" s="110" t="s">
        <v>498</v>
      </c>
      <c r="H147" s="110" t="s">
        <v>496</v>
      </c>
      <c r="I147" s="75" t="s">
        <v>105</v>
      </c>
      <c r="J147" s="109" t="s">
        <v>493</v>
      </c>
      <c r="K147" s="109" t="s">
        <v>494</v>
      </c>
      <c r="L147" s="76" t="s">
        <v>152</v>
      </c>
      <c r="M147" s="96"/>
      <c r="N147" s="71" t="s">
        <v>148</v>
      </c>
      <c r="O147" s="71" t="s">
        <v>149</v>
      </c>
      <c r="P147" s="71" t="s">
        <v>147</v>
      </c>
      <c r="Q147" s="71" t="s">
        <v>156</v>
      </c>
      <c r="R147" s="71" t="s">
        <v>159</v>
      </c>
      <c r="T147" s="78" t="s">
        <v>154</v>
      </c>
      <c r="U147" s="71"/>
    </row>
    <row r="148" spans="1:21" x14ac:dyDescent="0.25">
      <c r="A148" s="108" t="s">
        <v>70</v>
      </c>
      <c r="B148">
        <f t="shared" si="224"/>
        <v>144</v>
      </c>
      <c r="D148" s="69" t="s">
        <v>109</v>
      </c>
      <c r="E148" s="69" t="s">
        <v>109</v>
      </c>
      <c r="F148" s="69" t="s">
        <v>109</v>
      </c>
      <c r="I148" s="68" t="s">
        <v>105</v>
      </c>
      <c r="J148" s="69" t="s">
        <v>125</v>
      </c>
      <c r="K148" s="69" t="s">
        <v>125</v>
      </c>
      <c r="L148" s="69" t="s">
        <v>125</v>
      </c>
      <c r="M148" s="97"/>
      <c r="N148" s="69" t="s">
        <v>109</v>
      </c>
      <c r="O148" s="69" t="s">
        <v>125</v>
      </c>
      <c r="P148" s="69" t="s">
        <v>11</v>
      </c>
      <c r="Q148" s="69" t="s">
        <v>157</v>
      </c>
      <c r="R148" s="69" t="s">
        <v>157</v>
      </c>
      <c r="T148" s="69"/>
      <c r="U148" s="69" t="s">
        <v>157</v>
      </c>
    </row>
    <row r="149" spans="1:21" x14ac:dyDescent="0.25">
      <c r="A149" t="s">
        <v>71</v>
      </c>
      <c r="B149">
        <f t="shared" si="224"/>
        <v>145</v>
      </c>
      <c r="C149" s="86">
        <v>2011</v>
      </c>
      <c r="D149">
        <v>9793</v>
      </c>
      <c r="E149">
        <v>9239</v>
      </c>
      <c r="F149">
        <v>11652</v>
      </c>
      <c r="G149">
        <v>1314</v>
      </c>
      <c r="H149">
        <v>657</v>
      </c>
      <c r="I149" s="86">
        <v>2011</v>
      </c>
      <c r="J149">
        <v>1479</v>
      </c>
      <c r="K149">
        <v>1395</v>
      </c>
      <c r="L149">
        <v>1712</v>
      </c>
      <c r="M149" s="97">
        <f>N149/(O149*8.76)</f>
        <v>0.63406950584268706</v>
      </c>
      <c r="N149" s="121">
        <v>8365</v>
      </c>
      <c r="O149">
        <f>1506</f>
        <v>1506</v>
      </c>
      <c r="P149" s="104">
        <f>P131</f>
        <v>0.22099999999999997</v>
      </c>
      <c r="Q149">
        <v>106</v>
      </c>
      <c r="R149">
        <v>985</v>
      </c>
      <c r="T149" t="s">
        <v>462</v>
      </c>
      <c r="U149">
        <v>1205.3747387465301</v>
      </c>
    </row>
    <row r="150" spans="1:21" x14ac:dyDescent="0.25">
      <c r="B150">
        <f t="shared" si="224"/>
        <v>146</v>
      </c>
      <c r="C150" s="86">
        <v>2012</v>
      </c>
      <c r="D150">
        <v>10421</v>
      </c>
      <c r="E150">
        <v>9652</v>
      </c>
      <c r="F150">
        <v>12516</v>
      </c>
      <c r="G150">
        <v>1314</v>
      </c>
      <c r="H150">
        <v>657</v>
      </c>
      <c r="I150" s="86">
        <v>2012</v>
      </c>
      <c r="J150">
        <v>1573</v>
      </c>
      <c r="K150">
        <v>1457</v>
      </c>
      <c r="L150">
        <v>1842</v>
      </c>
      <c r="P150" t="s">
        <v>488</v>
      </c>
      <c r="T150" t="s">
        <v>463</v>
      </c>
      <c r="U150">
        <v>1475.0540718865641</v>
      </c>
    </row>
    <row r="151" spans="1:21" x14ac:dyDescent="0.25">
      <c r="B151">
        <f t="shared" si="224"/>
        <v>147</v>
      </c>
      <c r="C151" s="86">
        <v>2013</v>
      </c>
      <c r="D151">
        <v>11093</v>
      </c>
      <c r="E151">
        <v>10096</v>
      </c>
      <c r="F151">
        <v>14789</v>
      </c>
      <c r="G151">
        <v>1971</v>
      </c>
      <c r="H151">
        <v>1314</v>
      </c>
      <c r="I151" s="86">
        <v>2013</v>
      </c>
      <c r="J151">
        <v>1675</v>
      </c>
      <c r="K151">
        <v>1524</v>
      </c>
      <c r="L151">
        <v>2136</v>
      </c>
      <c r="N151">
        <v>8958</v>
      </c>
      <c r="P151" s="21">
        <f ca="1">INDIRECT(A149&amp;"!c10")</f>
        <v>0.15</v>
      </c>
      <c r="T151" t="s">
        <v>464</v>
      </c>
      <c r="U151">
        <v>1805.0689507992613</v>
      </c>
    </row>
    <row r="152" spans="1:21" x14ac:dyDescent="0.25">
      <c r="B152">
        <f t="shared" si="224"/>
        <v>148</v>
      </c>
      <c r="C152" s="86">
        <v>2014</v>
      </c>
      <c r="D152">
        <v>11764</v>
      </c>
      <c r="E152">
        <v>10522</v>
      </c>
      <c r="F152">
        <v>15747</v>
      </c>
      <c r="G152">
        <v>1971</v>
      </c>
      <c r="H152">
        <v>1314</v>
      </c>
      <c r="I152" s="86">
        <v>2014</v>
      </c>
      <c r="J152">
        <v>1780</v>
      </c>
      <c r="K152">
        <v>1590</v>
      </c>
      <c r="L152">
        <v>2287</v>
      </c>
      <c r="T152" t="s">
        <v>465</v>
      </c>
      <c r="U152">
        <v>1805.0689507992613</v>
      </c>
    </row>
    <row r="153" spans="1:21" x14ac:dyDescent="0.25">
      <c r="B153">
        <f t="shared" si="224"/>
        <v>149</v>
      </c>
      <c r="C153" s="86">
        <v>2015</v>
      </c>
      <c r="D153">
        <v>12484</v>
      </c>
      <c r="E153">
        <v>10971</v>
      </c>
      <c r="F153">
        <v>16795</v>
      </c>
      <c r="G153">
        <v>1971</v>
      </c>
      <c r="H153">
        <v>1314</v>
      </c>
      <c r="I153" s="86">
        <v>2015</v>
      </c>
      <c r="J153">
        <v>1888</v>
      </c>
      <c r="K153">
        <v>1657</v>
      </c>
      <c r="L153">
        <v>2445</v>
      </c>
      <c r="T153" t="s">
        <v>466</v>
      </c>
      <c r="U153">
        <v>1805.0689507992613</v>
      </c>
    </row>
    <row r="154" spans="1:21" x14ac:dyDescent="0.25">
      <c r="B154">
        <f t="shared" si="224"/>
        <v>150</v>
      </c>
      <c r="C154" s="86">
        <v>2016</v>
      </c>
      <c r="D154">
        <v>13252</v>
      </c>
      <c r="E154">
        <v>11440</v>
      </c>
      <c r="F154">
        <v>17932</v>
      </c>
      <c r="G154">
        <v>1971</v>
      </c>
      <c r="H154">
        <v>1314</v>
      </c>
      <c r="I154" s="86">
        <v>2016</v>
      </c>
      <c r="J154">
        <v>2007</v>
      </c>
      <c r="K154">
        <v>1730</v>
      </c>
      <c r="L154">
        <v>2621</v>
      </c>
      <c r="T154" t="s">
        <v>467</v>
      </c>
      <c r="U154">
        <v>1805.0689507992613</v>
      </c>
    </row>
    <row r="155" spans="1:21" x14ac:dyDescent="0.25">
      <c r="B155">
        <f t="shared" si="224"/>
        <v>151</v>
      </c>
      <c r="C155" s="86">
        <v>2017</v>
      </c>
      <c r="D155">
        <v>14070</v>
      </c>
      <c r="E155">
        <v>11932</v>
      </c>
      <c r="F155">
        <v>19164</v>
      </c>
      <c r="G155">
        <v>1971</v>
      </c>
      <c r="H155">
        <v>1314</v>
      </c>
      <c r="I155" s="86">
        <v>2017</v>
      </c>
      <c r="J155">
        <v>2130</v>
      </c>
      <c r="K155">
        <v>1804</v>
      </c>
      <c r="L155">
        <v>2807</v>
      </c>
      <c r="T155" t="s">
        <v>468</v>
      </c>
      <c r="U155">
        <v>1805.0689507992613</v>
      </c>
    </row>
    <row r="156" spans="1:21" x14ac:dyDescent="0.25">
      <c r="B156">
        <f t="shared" si="224"/>
        <v>152</v>
      </c>
      <c r="C156" s="86">
        <v>2018</v>
      </c>
      <c r="D156">
        <v>14941</v>
      </c>
      <c r="E156">
        <v>12446</v>
      </c>
      <c r="F156">
        <v>20500</v>
      </c>
      <c r="G156">
        <v>1971</v>
      </c>
      <c r="H156">
        <v>1314</v>
      </c>
      <c r="I156" s="86">
        <v>2018</v>
      </c>
      <c r="J156">
        <v>2262</v>
      </c>
      <c r="K156">
        <v>1881</v>
      </c>
      <c r="L156">
        <v>3008</v>
      </c>
      <c r="T156" t="s">
        <v>469</v>
      </c>
      <c r="U156">
        <v>1805.0689507992613</v>
      </c>
    </row>
    <row r="157" spans="1:21" x14ac:dyDescent="0.25">
      <c r="B157">
        <f t="shared" si="224"/>
        <v>153</v>
      </c>
      <c r="C157" s="86">
        <v>2019</v>
      </c>
      <c r="D157">
        <v>15869</v>
      </c>
      <c r="E157">
        <v>12984</v>
      </c>
      <c r="F157">
        <v>21947</v>
      </c>
      <c r="G157">
        <v>1971</v>
      </c>
      <c r="H157">
        <v>1314</v>
      </c>
      <c r="I157" s="86">
        <v>2019</v>
      </c>
      <c r="J157">
        <v>2401</v>
      </c>
      <c r="K157">
        <v>1962</v>
      </c>
      <c r="L157">
        <v>3226</v>
      </c>
      <c r="T157" t="s">
        <v>470</v>
      </c>
      <c r="U157">
        <v>1805.0689507992613</v>
      </c>
    </row>
    <row r="158" spans="1:21" x14ac:dyDescent="0.25">
      <c r="B158">
        <f t="shared" si="224"/>
        <v>154</v>
      </c>
      <c r="C158" s="86">
        <v>2020</v>
      </c>
      <c r="D158">
        <v>16857</v>
      </c>
      <c r="E158">
        <v>13547</v>
      </c>
      <c r="F158">
        <v>23514</v>
      </c>
      <c r="G158">
        <v>1971</v>
      </c>
      <c r="H158">
        <v>1314</v>
      </c>
      <c r="I158" s="86">
        <v>2020</v>
      </c>
      <c r="J158">
        <v>2550</v>
      </c>
      <c r="K158">
        <v>2047</v>
      </c>
      <c r="L158">
        <v>3462</v>
      </c>
      <c r="N158">
        <f>G158/(G158+D158)</f>
        <v>0.10468451242829828</v>
      </c>
      <c r="T158" t="s">
        <v>471</v>
      </c>
      <c r="U158">
        <v>1805.0689507992613</v>
      </c>
    </row>
    <row r="159" spans="1:21" x14ac:dyDescent="0.25">
      <c r="B159">
        <f t="shared" si="224"/>
        <v>155</v>
      </c>
      <c r="C159" s="86">
        <v>2021</v>
      </c>
      <c r="D159">
        <v>17908</v>
      </c>
      <c r="E159">
        <v>14135</v>
      </c>
      <c r="F159">
        <v>25212</v>
      </c>
      <c r="G159">
        <v>1971</v>
      </c>
      <c r="H159">
        <v>1314</v>
      </c>
      <c r="I159" s="86">
        <v>2021</v>
      </c>
      <c r="J159">
        <v>2708</v>
      </c>
      <c r="K159">
        <v>2136</v>
      </c>
      <c r="L159">
        <v>3717</v>
      </c>
      <c r="T159" t="s">
        <v>472</v>
      </c>
      <c r="U159">
        <v>1805.0689507992613</v>
      </c>
    </row>
    <row r="160" spans="1:21" x14ac:dyDescent="0.25">
      <c r="B160">
        <f t="shared" si="224"/>
        <v>156</v>
      </c>
      <c r="C160" s="86">
        <v>2022</v>
      </c>
      <c r="D160">
        <v>19027</v>
      </c>
      <c r="E160">
        <v>14750</v>
      </c>
      <c r="F160">
        <v>27050</v>
      </c>
      <c r="G160">
        <v>1971</v>
      </c>
      <c r="H160">
        <v>1314</v>
      </c>
      <c r="I160" s="86">
        <v>2022</v>
      </c>
      <c r="J160">
        <v>2877</v>
      </c>
      <c r="K160">
        <v>2228</v>
      </c>
      <c r="L160">
        <v>3994</v>
      </c>
      <c r="T160" t="s">
        <v>473</v>
      </c>
      <c r="U160">
        <v>1805.0689507992613</v>
      </c>
    </row>
    <row r="161" spans="1:28" x14ac:dyDescent="0.25">
      <c r="B161">
        <f t="shared" si="224"/>
        <v>157</v>
      </c>
      <c r="C161" s="86">
        <v>2023</v>
      </c>
      <c r="D161">
        <v>20218</v>
      </c>
      <c r="E161">
        <v>15393</v>
      </c>
      <c r="F161">
        <v>29038</v>
      </c>
      <c r="G161">
        <v>1971</v>
      </c>
      <c r="H161">
        <v>1314</v>
      </c>
      <c r="I161" s="86">
        <v>2023</v>
      </c>
      <c r="J161">
        <v>3056</v>
      </c>
      <c r="K161">
        <v>2325</v>
      </c>
      <c r="L161">
        <v>4294</v>
      </c>
      <c r="T161" t="s">
        <v>474</v>
      </c>
      <c r="U161">
        <v>1805.0689507992613</v>
      </c>
    </row>
    <row r="162" spans="1:28" x14ac:dyDescent="0.25">
      <c r="B162">
        <f t="shared" si="224"/>
        <v>158</v>
      </c>
      <c r="C162" s="86">
        <v>2024</v>
      </c>
      <c r="D162">
        <v>21485</v>
      </c>
      <c r="E162">
        <v>16065</v>
      </c>
      <c r="F162">
        <v>31190</v>
      </c>
      <c r="G162">
        <v>1971</v>
      </c>
      <c r="H162">
        <v>1314</v>
      </c>
      <c r="I162" s="86">
        <v>2024</v>
      </c>
      <c r="J162">
        <v>3247</v>
      </c>
      <c r="K162">
        <v>2426</v>
      </c>
      <c r="L162">
        <v>4618</v>
      </c>
      <c r="T162" t="s">
        <v>475</v>
      </c>
      <c r="U162">
        <v>1805.0689507992613</v>
      </c>
    </row>
    <row r="163" spans="1:28" x14ac:dyDescent="0.25">
      <c r="B163">
        <f t="shared" si="224"/>
        <v>159</v>
      </c>
      <c r="C163" s="86">
        <v>2025</v>
      </c>
      <c r="D163">
        <v>22832</v>
      </c>
      <c r="E163">
        <v>16768</v>
      </c>
      <c r="F163">
        <v>33517</v>
      </c>
      <c r="G163">
        <v>1971</v>
      </c>
      <c r="H163">
        <v>1314</v>
      </c>
      <c r="I163" s="86">
        <v>2025</v>
      </c>
      <c r="J163">
        <v>3450</v>
      </c>
      <c r="K163">
        <v>2532</v>
      </c>
      <c r="L163">
        <v>4968</v>
      </c>
      <c r="N163">
        <f>G163/(G163+D163)</f>
        <v>7.9466193605612218E-2</v>
      </c>
      <c r="T163" t="s">
        <v>476</v>
      </c>
      <c r="U163">
        <v>1805.069</v>
      </c>
    </row>
    <row r="164" spans="1:28" x14ac:dyDescent="0.25">
      <c r="B164">
        <f t="shared" si="224"/>
        <v>160</v>
      </c>
    </row>
    <row r="165" spans="1:28" ht="45" x14ac:dyDescent="0.25">
      <c r="B165">
        <f t="shared" si="224"/>
        <v>161</v>
      </c>
      <c r="D165" s="109" t="s">
        <v>505</v>
      </c>
      <c r="E165" s="109" t="s">
        <v>506</v>
      </c>
      <c r="F165" s="76" t="s">
        <v>152</v>
      </c>
      <c r="G165" s="110"/>
      <c r="H165" s="110"/>
      <c r="I165" s="75" t="s">
        <v>105</v>
      </c>
      <c r="J165" s="109" t="s">
        <v>501</v>
      </c>
      <c r="K165" s="109" t="s">
        <v>503</v>
      </c>
      <c r="L165" s="110" t="s">
        <v>499</v>
      </c>
      <c r="M165" s="110" t="s">
        <v>500</v>
      </c>
      <c r="N165" s="71" t="s">
        <v>148</v>
      </c>
      <c r="O165" s="71" t="s">
        <v>149</v>
      </c>
      <c r="P165" s="71" t="s">
        <v>147</v>
      </c>
      <c r="Q165" s="71" t="s">
        <v>156</v>
      </c>
      <c r="R165" s="71" t="s">
        <v>159</v>
      </c>
      <c r="S165" s="71"/>
      <c r="T165" s="78" t="s">
        <v>154</v>
      </c>
      <c r="U165" s="71"/>
      <c r="V165" s="71"/>
    </row>
    <row r="166" spans="1:28" x14ac:dyDescent="0.25">
      <c r="A166" s="108" t="s">
        <v>195</v>
      </c>
      <c r="B166">
        <f t="shared" si="224"/>
        <v>162</v>
      </c>
      <c r="D166" s="69" t="s">
        <v>109</v>
      </c>
      <c r="E166" s="69" t="s">
        <v>109</v>
      </c>
      <c r="F166" s="69" t="s">
        <v>109</v>
      </c>
      <c r="G166" s="69"/>
      <c r="H166" s="69"/>
      <c r="I166" s="68" t="s">
        <v>105</v>
      </c>
      <c r="J166" s="69" t="s">
        <v>125</v>
      </c>
      <c r="K166" s="69" t="s">
        <v>125</v>
      </c>
      <c r="L166" s="69" t="s">
        <v>125</v>
      </c>
      <c r="M166" s="69" t="s">
        <v>125</v>
      </c>
      <c r="N166" s="69" t="s">
        <v>109</v>
      </c>
      <c r="O166" s="69" t="s">
        <v>125</v>
      </c>
      <c r="P166" s="69" t="s">
        <v>11</v>
      </c>
      <c r="Q166" s="69" t="s">
        <v>157</v>
      </c>
      <c r="R166" s="69" t="s">
        <v>157</v>
      </c>
      <c r="S166" s="69"/>
      <c r="T166" s="69"/>
      <c r="U166" s="69" t="s">
        <v>157</v>
      </c>
    </row>
    <row r="167" spans="1:28" x14ac:dyDescent="0.25">
      <c r="A167" t="s">
        <v>197</v>
      </c>
      <c r="B167">
        <f t="shared" si="224"/>
        <v>163</v>
      </c>
      <c r="C167" s="86" t="s">
        <v>168</v>
      </c>
      <c r="D167">
        <f>X173+AA173</f>
        <v>2383</v>
      </c>
      <c r="E167">
        <f>Y173+AB173</f>
        <v>2368</v>
      </c>
      <c r="F167">
        <v>2279</v>
      </c>
      <c r="G167">
        <v>0</v>
      </c>
      <c r="H167">
        <v>0</v>
      </c>
      <c r="I167" s="86" t="s">
        <v>168</v>
      </c>
      <c r="J167">
        <v>170</v>
      </c>
      <c r="K167">
        <v>169</v>
      </c>
      <c r="L167">
        <v>219</v>
      </c>
      <c r="M167">
        <v>217</v>
      </c>
      <c r="N167" s="87">
        <f>(E167+1798)/2</f>
        <v>2083</v>
      </c>
      <c r="O167">
        <v>330</v>
      </c>
      <c r="P167" s="81">
        <f>P149</f>
        <v>0.22099999999999997</v>
      </c>
      <c r="Q167">
        <v>1567</v>
      </c>
      <c r="R167">
        <v>0</v>
      </c>
      <c r="T167" t="s">
        <v>462</v>
      </c>
    </row>
    <row r="168" spans="1:28" x14ac:dyDescent="0.25">
      <c r="B168">
        <f t="shared" si="224"/>
        <v>164</v>
      </c>
      <c r="C168" s="86">
        <v>2012</v>
      </c>
      <c r="D168">
        <f t="shared" ref="D168:D181" si="225">X174+AA174</f>
        <v>2763</v>
      </c>
      <c r="E168">
        <f t="shared" ref="E168:E181" si="226">Y174+AB174</f>
        <v>2746</v>
      </c>
      <c r="F168">
        <v>2488</v>
      </c>
      <c r="G168">
        <v>0</v>
      </c>
      <c r="H168">
        <v>0</v>
      </c>
      <c r="I168" s="86">
        <v>2012</v>
      </c>
      <c r="J168">
        <v>211</v>
      </c>
      <c r="K168">
        <v>210</v>
      </c>
      <c r="L168">
        <v>240</v>
      </c>
      <c r="M168">
        <v>238</v>
      </c>
      <c r="N168" s="97">
        <f>N167/(O167*8.76)</f>
        <v>0.72056178220561784</v>
      </c>
      <c r="P168" t="s">
        <v>488</v>
      </c>
      <c r="T168" t="s">
        <v>463</v>
      </c>
    </row>
    <row r="169" spans="1:28" x14ac:dyDescent="0.25">
      <c r="B169">
        <f t="shared" si="224"/>
        <v>165</v>
      </c>
      <c r="C169" s="86">
        <v>2013</v>
      </c>
      <c r="D169">
        <f t="shared" si="225"/>
        <v>3004</v>
      </c>
      <c r="E169">
        <f t="shared" si="226"/>
        <v>2931</v>
      </c>
      <c r="F169">
        <v>2756</v>
      </c>
      <c r="G169">
        <v>0</v>
      </c>
      <c r="H169">
        <v>0</v>
      </c>
      <c r="I169" s="86">
        <v>2013</v>
      </c>
      <c r="J169">
        <v>235</v>
      </c>
      <c r="K169">
        <v>229</v>
      </c>
      <c r="L169">
        <v>255</v>
      </c>
      <c r="M169">
        <v>249</v>
      </c>
      <c r="P169" s="21">
        <f ca="1">INDIRECT(A167&amp;"!c10")</f>
        <v>0.15</v>
      </c>
      <c r="T169" t="s">
        <v>464</v>
      </c>
    </row>
    <row r="170" spans="1:28" x14ac:dyDescent="0.25">
      <c r="B170">
        <f t="shared" si="224"/>
        <v>166</v>
      </c>
      <c r="C170" s="86">
        <v>2014</v>
      </c>
      <c r="D170">
        <f t="shared" si="225"/>
        <v>3268</v>
      </c>
      <c r="E170">
        <f t="shared" si="226"/>
        <v>3127</v>
      </c>
      <c r="F170">
        <v>3053</v>
      </c>
      <c r="G170">
        <v>0</v>
      </c>
      <c r="H170">
        <v>0</v>
      </c>
      <c r="I170" s="86">
        <v>2014</v>
      </c>
      <c r="J170">
        <v>256</v>
      </c>
      <c r="K170">
        <v>245</v>
      </c>
      <c r="L170">
        <v>277</v>
      </c>
      <c r="M170">
        <v>265</v>
      </c>
      <c r="T170" t="s">
        <v>465</v>
      </c>
    </row>
    <row r="171" spans="1:28" ht="45" x14ac:dyDescent="0.25">
      <c r="B171">
        <f t="shared" si="224"/>
        <v>167</v>
      </c>
      <c r="C171" s="86">
        <v>2015</v>
      </c>
      <c r="D171">
        <f t="shared" si="225"/>
        <v>3547</v>
      </c>
      <c r="E171">
        <f t="shared" si="226"/>
        <v>3331</v>
      </c>
      <c r="F171">
        <v>3373</v>
      </c>
      <c r="G171">
        <v>0</v>
      </c>
      <c r="H171">
        <v>0</v>
      </c>
      <c r="I171" s="86">
        <v>2015</v>
      </c>
      <c r="J171">
        <v>279</v>
      </c>
      <c r="K171">
        <v>262</v>
      </c>
      <c r="L171">
        <v>299</v>
      </c>
      <c r="M171">
        <v>281</v>
      </c>
      <c r="T171" t="s">
        <v>466</v>
      </c>
      <c r="X171" s="109" t="s">
        <v>501</v>
      </c>
      <c r="Y171" s="109" t="s">
        <v>502</v>
      </c>
      <c r="Z171" s="76" t="s">
        <v>152</v>
      </c>
      <c r="AA171" s="110" t="s">
        <v>499</v>
      </c>
      <c r="AB171" s="110" t="s">
        <v>500</v>
      </c>
    </row>
    <row r="172" spans="1:28" x14ac:dyDescent="0.25">
      <c r="B172">
        <f t="shared" si="224"/>
        <v>168</v>
      </c>
      <c r="C172" s="86">
        <v>2016</v>
      </c>
      <c r="D172">
        <f t="shared" si="225"/>
        <v>3841</v>
      </c>
      <c r="E172">
        <f t="shared" si="226"/>
        <v>3544</v>
      </c>
      <c r="F172">
        <v>3714</v>
      </c>
      <c r="G172">
        <v>0</v>
      </c>
      <c r="H172">
        <v>0</v>
      </c>
      <c r="I172" s="86">
        <v>2016</v>
      </c>
      <c r="J172">
        <v>305</v>
      </c>
      <c r="K172">
        <v>282</v>
      </c>
      <c r="L172">
        <v>321</v>
      </c>
      <c r="M172">
        <v>296</v>
      </c>
      <c r="T172" t="s">
        <v>467</v>
      </c>
      <c r="X172" s="69" t="s">
        <v>109</v>
      </c>
      <c r="Y172" s="69" t="s">
        <v>109</v>
      </c>
      <c r="Z172" s="69" t="s">
        <v>109</v>
      </c>
      <c r="AA172" s="69" t="s">
        <v>109</v>
      </c>
      <c r="AB172" s="69" t="s">
        <v>109</v>
      </c>
    </row>
    <row r="173" spans="1:28" x14ac:dyDescent="0.25">
      <c r="B173">
        <f t="shared" si="224"/>
        <v>169</v>
      </c>
      <c r="C173" s="86">
        <v>2017</v>
      </c>
      <c r="D173">
        <f t="shared" si="225"/>
        <v>4151</v>
      </c>
      <c r="E173">
        <f t="shared" si="226"/>
        <v>3766</v>
      </c>
      <c r="F173">
        <v>4078</v>
      </c>
      <c r="G173">
        <v>0</v>
      </c>
      <c r="H173">
        <v>0</v>
      </c>
      <c r="I173" s="86">
        <v>2017</v>
      </c>
      <c r="J173">
        <v>334</v>
      </c>
      <c r="K173">
        <v>303</v>
      </c>
      <c r="L173">
        <v>343</v>
      </c>
      <c r="M173">
        <v>311</v>
      </c>
      <c r="T173" t="s">
        <v>468</v>
      </c>
      <c r="X173">
        <v>1042</v>
      </c>
      <c r="Y173">
        <v>1035</v>
      </c>
      <c r="Z173">
        <v>2279</v>
      </c>
      <c r="AA173">
        <v>1341</v>
      </c>
      <c r="AB173">
        <v>1333</v>
      </c>
    </row>
    <row r="174" spans="1:28" x14ac:dyDescent="0.25">
      <c r="B174">
        <f t="shared" si="224"/>
        <v>170</v>
      </c>
      <c r="C174" s="86">
        <v>2018</v>
      </c>
      <c r="D174">
        <f t="shared" si="225"/>
        <v>4478</v>
      </c>
      <c r="E174">
        <f t="shared" si="226"/>
        <v>3996</v>
      </c>
      <c r="F174">
        <v>4466</v>
      </c>
      <c r="G174">
        <v>0</v>
      </c>
      <c r="H174">
        <v>0</v>
      </c>
      <c r="I174" s="86">
        <v>2018</v>
      </c>
      <c r="J174">
        <v>364</v>
      </c>
      <c r="K174">
        <v>325</v>
      </c>
      <c r="L174">
        <v>366</v>
      </c>
      <c r="M174">
        <v>327</v>
      </c>
      <c r="T174" t="s">
        <v>469</v>
      </c>
      <c r="X174">
        <v>1294</v>
      </c>
      <c r="Y174">
        <v>1286</v>
      </c>
      <c r="Z174">
        <v>2488</v>
      </c>
      <c r="AA174">
        <v>1469</v>
      </c>
      <c r="AB174">
        <v>1460</v>
      </c>
    </row>
    <row r="175" spans="1:28" x14ac:dyDescent="0.25">
      <c r="B175">
        <f t="shared" si="224"/>
        <v>171</v>
      </c>
      <c r="C175" s="86">
        <v>2019</v>
      </c>
      <c r="D175">
        <f t="shared" si="225"/>
        <v>4822</v>
      </c>
      <c r="E175">
        <f t="shared" si="226"/>
        <v>4236</v>
      </c>
      <c r="F175">
        <v>4881</v>
      </c>
      <c r="G175">
        <v>0</v>
      </c>
      <c r="H175">
        <v>0</v>
      </c>
      <c r="I175" s="86">
        <v>2019</v>
      </c>
      <c r="J175">
        <v>395</v>
      </c>
      <c r="K175">
        <v>348</v>
      </c>
      <c r="L175">
        <v>391</v>
      </c>
      <c r="M175">
        <v>343</v>
      </c>
      <c r="T175" t="s">
        <v>470</v>
      </c>
      <c r="X175">
        <v>1440</v>
      </c>
      <c r="Y175">
        <v>1405</v>
      </c>
      <c r="Z175">
        <v>2756</v>
      </c>
      <c r="AA175">
        <v>1564</v>
      </c>
      <c r="AB175">
        <v>1526</v>
      </c>
    </row>
    <row r="176" spans="1:28" x14ac:dyDescent="0.25">
      <c r="B176">
        <f t="shared" si="224"/>
        <v>172</v>
      </c>
      <c r="C176" s="86">
        <v>2020</v>
      </c>
      <c r="D176">
        <f t="shared" si="225"/>
        <v>5185</v>
      </c>
      <c r="E176">
        <f t="shared" si="226"/>
        <v>4486</v>
      </c>
      <c r="F176">
        <v>5323</v>
      </c>
      <c r="G176">
        <v>0</v>
      </c>
      <c r="H176">
        <v>0</v>
      </c>
      <c r="I176" s="86">
        <v>2020</v>
      </c>
      <c r="J176">
        <v>426</v>
      </c>
      <c r="K176">
        <v>368</v>
      </c>
      <c r="L176">
        <v>420</v>
      </c>
      <c r="M176">
        <v>364</v>
      </c>
      <c r="T176" t="s">
        <v>471</v>
      </c>
      <c r="X176">
        <v>1571</v>
      </c>
      <c r="Y176">
        <v>1503</v>
      </c>
      <c r="Z176">
        <v>3053</v>
      </c>
      <c r="AA176">
        <v>1697</v>
      </c>
      <c r="AB176">
        <v>1624</v>
      </c>
    </row>
    <row r="177" spans="1:28" x14ac:dyDescent="0.25">
      <c r="B177">
        <f t="shared" si="224"/>
        <v>173</v>
      </c>
      <c r="C177" s="86">
        <v>2021</v>
      </c>
      <c r="D177">
        <f t="shared" si="225"/>
        <v>5567</v>
      </c>
      <c r="E177">
        <f t="shared" si="226"/>
        <v>4745</v>
      </c>
      <c r="F177">
        <v>5795</v>
      </c>
      <c r="G177">
        <v>0</v>
      </c>
      <c r="H177">
        <v>0</v>
      </c>
      <c r="I177" s="86">
        <v>2021</v>
      </c>
      <c r="J177">
        <v>457</v>
      </c>
      <c r="K177">
        <v>389</v>
      </c>
      <c r="L177">
        <v>451</v>
      </c>
      <c r="M177">
        <v>385</v>
      </c>
      <c r="T177" t="s">
        <v>472</v>
      </c>
      <c r="X177">
        <v>1712</v>
      </c>
      <c r="Y177">
        <v>1608</v>
      </c>
      <c r="Z177">
        <v>3373</v>
      </c>
      <c r="AA177">
        <v>1835</v>
      </c>
      <c r="AB177">
        <v>1723</v>
      </c>
    </row>
    <row r="178" spans="1:28" x14ac:dyDescent="0.25">
      <c r="B178">
        <f t="shared" si="224"/>
        <v>174</v>
      </c>
      <c r="C178" s="86">
        <v>2022</v>
      </c>
      <c r="D178">
        <f t="shared" si="225"/>
        <v>5971</v>
      </c>
      <c r="E178">
        <f t="shared" si="226"/>
        <v>5015</v>
      </c>
      <c r="F178">
        <v>6299</v>
      </c>
      <c r="G178">
        <v>0</v>
      </c>
      <c r="H178">
        <v>0</v>
      </c>
      <c r="I178" s="86">
        <v>2022</v>
      </c>
      <c r="J178">
        <v>490</v>
      </c>
      <c r="K178">
        <v>412</v>
      </c>
      <c r="L178">
        <v>484</v>
      </c>
      <c r="M178">
        <v>407</v>
      </c>
      <c r="T178" t="s">
        <v>473</v>
      </c>
      <c r="X178">
        <v>1873</v>
      </c>
      <c r="Y178">
        <v>1728</v>
      </c>
      <c r="Z178">
        <v>3714</v>
      </c>
      <c r="AA178">
        <v>1968</v>
      </c>
      <c r="AB178">
        <v>1816</v>
      </c>
    </row>
    <row r="179" spans="1:28" x14ac:dyDescent="0.25">
      <c r="B179">
        <f t="shared" si="224"/>
        <v>175</v>
      </c>
      <c r="C179" s="86">
        <v>2023</v>
      </c>
      <c r="D179">
        <f t="shared" si="225"/>
        <v>6395</v>
      </c>
      <c r="E179">
        <f t="shared" si="226"/>
        <v>5296</v>
      </c>
      <c r="F179">
        <v>6837</v>
      </c>
      <c r="G179">
        <v>0</v>
      </c>
      <c r="H179">
        <v>0</v>
      </c>
      <c r="I179" s="86">
        <v>2023</v>
      </c>
      <c r="J179">
        <v>525</v>
      </c>
      <c r="K179">
        <v>435</v>
      </c>
      <c r="L179">
        <v>518</v>
      </c>
      <c r="M179">
        <v>429</v>
      </c>
      <c r="T179" t="s">
        <v>474</v>
      </c>
      <c r="X179">
        <v>2046</v>
      </c>
      <c r="Y179">
        <v>1856</v>
      </c>
      <c r="Z179">
        <v>4078</v>
      </c>
      <c r="AA179">
        <v>2105</v>
      </c>
      <c r="AB179">
        <v>1910</v>
      </c>
    </row>
    <row r="180" spans="1:28" x14ac:dyDescent="0.25">
      <c r="B180">
        <f t="shared" si="224"/>
        <v>176</v>
      </c>
      <c r="C180" s="86">
        <v>2024</v>
      </c>
      <c r="D180">
        <f t="shared" si="225"/>
        <v>6842</v>
      </c>
      <c r="E180">
        <f t="shared" si="226"/>
        <v>5589</v>
      </c>
      <c r="F180">
        <v>7411</v>
      </c>
      <c r="G180">
        <v>0</v>
      </c>
      <c r="H180">
        <v>0</v>
      </c>
      <c r="I180" s="86">
        <v>2024</v>
      </c>
      <c r="J180">
        <v>561</v>
      </c>
      <c r="K180">
        <v>458</v>
      </c>
      <c r="L180">
        <v>555</v>
      </c>
      <c r="M180">
        <v>453</v>
      </c>
      <c r="T180" t="s">
        <v>475</v>
      </c>
      <c r="X180">
        <v>2230</v>
      </c>
      <c r="Y180">
        <v>1990</v>
      </c>
      <c r="Z180">
        <v>4466</v>
      </c>
      <c r="AA180">
        <v>2248</v>
      </c>
      <c r="AB180">
        <v>2006</v>
      </c>
    </row>
    <row r="181" spans="1:28" x14ac:dyDescent="0.25">
      <c r="B181">
        <f t="shared" si="224"/>
        <v>177</v>
      </c>
      <c r="C181" s="86">
        <v>2025</v>
      </c>
      <c r="D181">
        <f t="shared" si="225"/>
        <v>7314</v>
      </c>
      <c r="E181">
        <f t="shared" si="226"/>
        <v>5893</v>
      </c>
      <c r="F181">
        <v>8024</v>
      </c>
      <c r="G181">
        <v>0</v>
      </c>
      <c r="H181">
        <v>0</v>
      </c>
      <c r="I181" s="86">
        <v>2025</v>
      </c>
      <c r="J181">
        <v>600</v>
      </c>
      <c r="K181">
        <v>484</v>
      </c>
      <c r="L181">
        <v>593</v>
      </c>
      <c r="M181">
        <v>477</v>
      </c>
      <c r="T181" t="s">
        <v>476</v>
      </c>
      <c r="X181">
        <v>2426</v>
      </c>
      <c r="Y181">
        <v>2131</v>
      </c>
      <c r="Z181">
        <v>4881</v>
      </c>
      <c r="AA181">
        <v>2396</v>
      </c>
      <c r="AB181">
        <v>2105</v>
      </c>
    </row>
    <row r="182" spans="1:28" x14ac:dyDescent="0.25">
      <c r="B182">
        <f t="shared" si="224"/>
        <v>178</v>
      </c>
      <c r="X182">
        <v>2609</v>
      </c>
      <c r="Y182">
        <v>2257</v>
      </c>
      <c r="Z182">
        <v>5323</v>
      </c>
      <c r="AA182">
        <v>2576</v>
      </c>
      <c r="AB182">
        <v>2229</v>
      </c>
    </row>
    <row r="183" spans="1:28" ht="30" x14ac:dyDescent="0.25">
      <c r="B183">
        <f t="shared" si="224"/>
        <v>179</v>
      </c>
      <c r="D183" s="109" t="s">
        <v>493</v>
      </c>
      <c r="E183" s="109" t="s">
        <v>494</v>
      </c>
      <c r="F183" s="76" t="s">
        <v>152</v>
      </c>
      <c r="G183" s="71"/>
      <c r="H183" s="71"/>
      <c r="I183" s="75" t="s">
        <v>105</v>
      </c>
      <c r="J183" s="109" t="s">
        <v>493</v>
      </c>
      <c r="K183" s="109" t="s">
        <v>494</v>
      </c>
      <c r="L183" s="76" t="s">
        <v>152</v>
      </c>
      <c r="M183" s="96"/>
      <c r="N183" s="71" t="s">
        <v>148</v>
      </c>
      <c r="O183" s="71" t="s">
        <v>149</v>
      </c>
      <c r="P183" s="71" t="s">
        <v>147</v>
      </c>
      <c r="Q183" s="71" t="s">
        <v>156</v>
      </c>
      <c r="R183" s="71" t="s">
        <v>159</v>
      </c>
      <c r="S183" s="71"/>
      <c r="T183" s="78" t="s">
        <v>154</v>
      </c>
      <c r="U183" s="71"/>
      <c r="X183">
        <v>2801</v>
      </c>
      <c r="Y183">
        <v>2387</v>
      </c>
      <c r="Z183">
        <v>5795</v>
      </c>
      <c r="AA183">
        <v>2766</v>
      </c>
      <c r="AB183">
        <v>2358</v>
      </c>
    </row>
    <row r="184" spans="1:28" x14ac:dyDescent="0.25">
      <c r="A184" s="108" t="s">
        <v>63</v>
      </c>
      <c r="B184">
        <f t="shared" si="224"/>
        <v>180</v>
      </c>
      <c r="D184" s="69" t="s">
        <v>109</v>
      </c>
      <c r="E184" s="69" t="s">
        <v>109</v>
      </c>
      <c r="F184" s="69" t="s">
        <v>109</v>
      </c>
      <c r="I184" s="68" t="s">
        <v>105</v>
      </c>
      <c r="J184" s="69" t="s">
        <v>125</v>
      </c>
      <c r="K184" s="69" t="s">
        <v>125</v>
      </c>
      <c r="L184" s="69" t="s">
        <v>125</v>
      </c>
      <c r="M184" s="97"/>
      <c r="N184" s="69" t="s">
        <v>109</v>
      </c>
      <c r="O184" s="69" t="s">
        <v>125</v>
      </c>
      <c r="P184" s="69" t="s">
        <v>11</v>
      </c>
      <c r="Q184" s="69" t="s">
        <v>157</v>
      </c>
      <c r="R184" s="69" t="s">
        <v>157</v>
      </c>
      <c r="S184" s="69"/>
      <c r="T184" s="69"/>
      <c r="U184" s="69" t="s">
        <v>157</v>
      </c>
      <c r="X184">
        <v>3004</v>
      </c>
      <c r="Y184">
        <v>2523</v>
      </c>
      <c r="Z184">
        <v>6299</v>
      </c>
      <c r="AA184">
        <v>2967</v>
      </c>
      <c r="AB184">
        <v>2492</v>
      </c>
    </row>
    <row r="185" spans="1:28" x14ac:dyDescent="0.25">
      <c r="A185" t="s">
        <v>64</v>
      </c>
      <c r="B185">
        <f t="shared" si="224"/>
        <v>181</v>
      </c>
      <c r="C185" s="86" t="s">
        <v>168</v>
      </c>
      <c r="D185" s="88">
        <v>873</v>
      </c>
      <c r="E185" s="88">
        <v>873</v>
      </c>
      <c r="F185" s="88">
        <v>886</v>
      </c>
      <c r="G185">
        <v>0</v>
      </c>
      <c r="H185">
        <v>0</v>
      </c>
      <c r="I185" s="86" t="s">
        <v>168</v>
      </c>
      <c r="J185">
        <v>178</v>
      </c>
      <c r="K185">
        <v>178</v>
      </c>
      <c r="L185">
        <v>181</v>
      </c>
      <c r="M185" s="97">
        <f>N185/(O185*8.76)</f>
        <v>0.62026761458875213</v>
      </c>
      <c r="N185">
        <f>(844+E185)/2</f>
        <v>858.5</v>
      </c>
      <c r="O185">
        <v>158</v>
      </c>
      <c r="P185" s="81">
        <f>1-714/844</f>
        <v>0.15402843601895733</v>
      </c>
      <c r="Q185">
        <v>145</v>
      </c>
      <c r="R185">
        <v>0</v>
      </c>
      <c r="T185" t="s">
        <v>462</v>
      </c>
      <c r="X185">
        <v>3217</v>
      </c>
      <c r="Y185">
        <v>2664</v>
      </c>
      <c r="Z185">
        <v>6837</v>
      </c>
      <c r="AA185">
        <v>3178</v>
      </c>
      <c r="AB185">
        <v>2632</v>
      </c>
    </row>
    <row r="186" spans="1:28" x14ac:dyDescent="0.25">
      <c r="B186">
        <f t="shared" si="224"/>
        <v>182</v>
      </c>
      <c r="C186" s="86">
        <v>2012</v>
      </c>
      <c r="D186" s="88">
        <v>934</v>
      </c>
      <c r="E186" s="88">
        <v>929</v>
      </c>
      <c r="F186" s="88">
        <v>962</v>
      </c>
      <c r="G186">
        <v>0</v>
      </c>
      <c r="H186">
        <v>0</v>
      </c>
      <c r="I186" s="86">
        <v>2012</v>
      </c>
      <c r="J186">
        <v>190</v>
      </c>
      <c r="K186">
        <v>189</v>
      </c>
      <c r="L186">
        <v>196</v>
      </c>
      <c r="M186" s="94" t="s">
        <v>105</v>
      </c>
      <c r="P186" t="s">
        <v>488</v>
      </c>
      <c r="T186" t="s">
        <v>463</v>
      </c>
      <c r="X186">
        <v>3442</v>
      </c>
      <c r="Y186">
        <v>2812</v>
      </c>
      <c r="Z186">
        <v>7411</v>
      </c>
      <c r="AA186">
        <v>3400</v>
      </c>
      <c r="AB186">
        <v>2777</v>
      </c>
    </row>
    <row r="187" spans="1:28" x14ac:dyDescent="0.25">
      <c r="B187">
        <f t="shared" si="224"/>
        <v>183</v>
      </c>
      <c r="C187" s="86">
        <v>2013</v>
      </c>
      <c r="D187" s="88">
        <v>1006</v>
      </c>
      <c r="E187" s="88">
        <v>987</v>
      </c>
      <c r="F187" s="88">
        <v>1052</v>
      </c>
      <c r="G187">
        <v>0</v>
      </c>
      <c r="H187">
        <v>0</v>
      </c>
      <c r="I187" s="86">
        <v>2013</v>
      </c>
      <c r="J187">
        <v>205</v>
      </c>
      <c r="K187">
        <v>201</v>
      </c>
      <c r="L187">
        <v>214</v>
      </c>
      <c r="M187" s="94" t="s">
        <v>105</v>
      </c>
      <c r="P187" s="21">
        <f ca="1">INDIRECT(A185&amp;"!c10")</f>
        <v>0.15</v>
      </c>
      <c r="T187" t="s">
        <v>464</v>
      </c>
      <c r="X187">
        <v>3680</v>
      </c>
      <c r="Y187">
        <v>2965</v>
      </c>
      <c r="Z187">
        <v>8024</v>
      </c>
      <c r="AA187">
        <v>3634</v>
      </c>
      <c r="AB187">
        <v>2928</v>
      </c>
    </row>
    <row r="188" spans="1:28" x14ac:dyDescent="0.25">
      <c r="B188">
        <f t="shared" si="224"/>
        <v>184</v>
      </c>
      <c r="C188" s="86">
        <v>2014</v>
      </c>
      <c r="D188" s="88">
        <v>1087</v>
      </c>
      <c r="E188" s="88">
        <v>1048</v>
      </c>
      <c r="F188" s="88">
        <v>1153</v>
      </c>
      <c r="G188">
        <v>0</v>
      </c>
      <c r="H188">
        <v>0</v>
      </c>
      <c r="I188" s="86">
        <v>2014</v>
      </c>
      <c r="J188">
        <v>222</v>
      </c>
      <c r="K188">
        <v>214</v>
      </c>
      <c r="L188">
        <v>235</v>
      </c>
      <c r="M188" s="94" t="s">
        <v>105</v>
      </c>
      <c r="T188" t="s">
        <v>465</v>
      </c>
    </row>
    <row r="189" spans="1:28" x14ac:dyDescent="0.25">
      <c r="B189">
        <f t="shared" si="224"/>
        <v>185</v>
      </c>
      <c r="C189" s="86">
        <v>2015</v>
      </c>
      <c r="D189" s="88">
        <v>1173</v>
      </c>
      <c r="E189" s="88">
        <v>1112</v>
      </c>
      <c r="F189" s="88">
        <v>1260</v>
      </c>
      <c r="G189">
        <v>0</v>
      </c>
      <c r="H189">
        <v>0</v>
      </c>
      <c r="I189" s="86">
        <v>2015</v>
      </c>
      <c r="J189">
        <v>239</v>
      </c>
      <c r="K189">
        <v>227</v>
      </c>
      <c r="L189">
        <v>257</v>
      </c>
      <c r="M189" s="94" t="s">
        <v>105</v>
      </c>
      <c r="T189" t="s">
        <v>466</v>
      </c>
    </row>
    <row r="190" spans="1:28" x14ac:dyDescent="0.25">
      <c r="B190">
        <f t="shared" si="224"/>
        <v>186</v>
      </c>
      <c r="C190" s="86">
        <v>2016</v>
      </c>
      <c r="D190" s="88">
        <v>1265</v>
      </c>
      <c r="E190" s="88">
        <v>1179</v>
      </c>
      <c r="F190" s="88">
        <v>1375</v>
      </c>
      <c r="G190">
        <v>0</v>
      </c>
      <c r="H190">
        <v>0</v>
      </c>
      <c r="I190" s="86">
        <v>2016</v>
      </c>
      <c r="J190">
        <v>258</v>
      </c>
      <c r="K190">
        <v>240</v>
      </c>
      <c r="L190">
        <v>280</v>
      </c>
      <c r="M190" s="94" t="s">
        <v>105</v>
      </c>
      <c r="T190" t="s">
        <v>467</v>
      </c>
    </row>
    <row r="191" spans="1:28" x14ac:dyDescent="0.25">
      <c r="B191">
        <f t="shared" si="224"/>
        <v>187</v>
      </c>
      <c r="C191" s="86">
        <v>2017</v>
      </c>
      <c r="D191" s="88">
        <v>1362</v>
      </c>
      <c r="E191" s="88">
        <v>1250</v>
      </c>
      <c r="F191" s="88">
        <v>1497</v>
      </c>
      <c r="G191">
        <v>0</v>
      </c>
      <c r="H191">
        <v>0</v>
      </c>
      <c r="I191" s="86">
        <v>2017</v>
      </c>
      <c r="J191">
        <v>278</v>
      </c>
      <c r="K191">
        <v>255</v>
      </c>
      <c r="L191">
        <v>305</v>
      </c>
      <c r="M191" s="94" t="s">
        <v>105</v>
      </c>
      <c r="T191" t="s">
        <v>468</v>
      </c>
    </row>
    <row r="192" spans="1:28" x14ac:dyDescent="0.25">
      <c r="B192">
        <f t="shared" si="224"/>
        <v>188</v>
      </c>
      <c r="C192" s="86">
        <v>2018</v>
      </c>
      <c r="D192" s="88">
        <v>1466</v>
      </c>
      <c r="E192" s="88">
        <v>1324</v>
      </c>
      <c r="F192" s="88">
        <v>1626</v>
      </c>
      <c r="G192">
        <v>0</v>
      </c>
      <c r="H192">
        <v>0</v>
      </c>
      <c r="I192" s="86">
        <v>2018</v>
      </c>
      <c r="J192">
        <v>299</v>
      </c>
      <c r="K192">
        <v>270</v>
      </c>
      <c r="L192">
        <v>332</v>
      </c>
      <c r="M192" s="94" t="s">
        <v>105</v>
      </c>
      <c r="T192" t="s">
        <v>469</v>
      </c>
    </row>
    <row r="193" spans="1:21" x14ac:dyDescent="0.25">
      <c r="B193">
        <f t="shared" si="224"/>
        <v>189</v>
      </c>
      <c r="C193" s="86">
        <v>2019</v>
      </c>
      <c r="D193" s="88">
        <v>1576</v>
      </c>
      <c r="E193" s="88">
        <v>1402</v>
      </c>
      <c r="F193" s="88">
        <v>1765</v>
      </c>
      <c r="G193">
        <v>0</v>
      </c>
      <c r="H193">
        <v>0</v>
      </c>
      <c r="I193" s="86">
        <v>2019</v>
      </c>
      <c r="J193">
        <v>321</v>
      </c>
      <c r="K193">
        <v>286</v>
      </c>
      <c r="L193">
        <v>360</v>
      </c>
      <c r="M193" s="94" t="s">
        <v>105</v>
      </c>
      <c r="T193" t="s">
        <v>470</v>
      </c>
    </row>
    <row r="194" spans="1:21" x14ac:dyDescent="0.25">
      <c r="B194">
        <f t="shared" si="224"/>
        <v>190</v>
      </c>
      <c r="C194" s="86">
        <v>2020</v>
      </c>
      <c r="D194" s="88">
        <v>1694</v>
      </c>
      <c r="E194" s="88">
        <v>1484</v>
      </c>
      <c r="F194" s="88">
        <v>1912</v>
      </c>
      <c r="G194">
        <v>0</v>
      </c>
      <c r="H194">
        <v>0</v>
      </c>
      <c r="I194" s="86">
        <v>2020</v>
      </c>
      <c r="J194">
        <v>345</v>
      </c>
      <c r="K194">
        <v>303</v>
      </c>
      <c r="L194">
        <v>390</v>
      </c>
      <c r="M194" s="94" t="s">
        <v>105</v>
      </c>
      <c r="T194" t="s">
        <v>471</v>
      </c>
    </row>
    <row r="195" spans="1:21" x14ac:dyDescent="0.25">
      <c r="B195">
        <f t="shared" si="224"/>
        <v>191</v>
      </c>
      <c r="C195" s="86">
        <v>2021</v>
      </c>
      <c r="D195" s="88">
        <v>1820</v>
      </c>
      <c r="E195" s="88">
        <v>1570</v>
      </c>
      <c r="F195" s="88">
        <v>2069</v>
      </c>
      <c r="G195">
        <v>0</v>
      </c>
      <c r="H195">
        <v>0</v>
      </c>
      <c r="I195" s="86">
        <v>2021</v>
      </c>
      <c r="J195">
        <v>371</v>
      </c>
      <c r="K195">
        <v>320</v>
      </c>
      <c r="L195">
        <v>422</v>
      </c>
      <c r="M195" s="94" t="s">
        <v>105</v>
      </c>
      <c r="T195" t="s">
        <v>472</v>
      </c>
    </row>
    <row r="196" spans="1:21" x14ac:dyDescent="0.25">
      <c r="B196">
        <f t="shared" si="224"/>
        <v>192</v>
      </c>
      <c r="C196" s="86">
        <v>2022</v>
      </c>
      <c r="D196" s="88">
        <v>1953</v>
      </c>
      <c r="E196" s="88">
        <v>1661</v>
      </c>
      <c r="F196" s="88">
        <v>2236</v>
      </c>
      <c r="G196">
        <v>0</v>
      </c>
      <c r="H196">
        <v>0</v>
      </c>
      <c r="I196" s="86">
        <v>2022</v>
      </c>
      <c r="J196">
        <v>398</v>
      </c>
      <c r="K196">
        <v>338</v>
      </c>
      <c r="L196">
        <v>456</v>
      </c>
      <c r="M196" s="94" t="s">
        <v>105</v>
      </c>
      <c r="T196" t="s">
        <v>473</v>
      </c>
    </row>
    <row r="197" spans="1:21" x14ac:dyDescent="0.25">
      <c r="B197">
        <f t="shared" si="224"/>
        <v>193</v>
      </c>
      <c r="C197" s="86">
        <v>2023</v>
      </c>
      <c r="D197" s="88">
        <v>2095</v>
      </c>
      <c r="E197" s="88">
        <v>1755</v>
      </c>
      <c r="F197" s="88">
        <v>2413</v>
      </c>
      <c r="G197">
        <v>0</v>
      </c>
      <c r="H197">
        <v>0</v>
      </c>
      <c r="I197" s="86">
        <v>2023</v>
      </c>
      <c r="J197">
        <v>427</v>
      </c>
      <c r="K197">
        <v>358</v>
      </c>
      <c r="L197">
        <v>492</v>
      </c>
      <c r="M197" s="94" t="s">
        <v>105</v>
      </c>
      <c r="T197" t="s">
        <v>474</v>
      </c>
    </row>
    <row r="198" spans="1:21" x14ac:dyDescent="0.25">
      <c r="B198">
        <f t="shared" si="224"/>
        <v>194</v>
      </c>
      <c r="C198" s="86">
        <v>2024</v>
      </c>
      <c r="D198" s="88">
        <v>2247</v>
      </c>
      <c r="E198" s="88">
        <v>1855</v>
      </c>
      <c r="F198" s="88">
        <v>2603</v>
      </c>
      <c r="G198">
        <v>0</v>
      </c>
      <c r="H198">
        <v>0</v>
      </c>
      <c r="I198" s="86">
        <v>2024</v>
      </c>
      <c r="J198">
        <v>458</v>
      </c>
      <c r="K198">
        <v>378</v>
      </c>
      <c r="L198">
        <v>531</v>
      </c>
      <c r="M198" s="94" t="s">
        <v>105</v>
      </c>
      <c r="T198" t="s">
        <v>475</v>
      </c>
    </row>
    <row r="199" spans="1:21" x14ac:dyDescent="0.25">
      <c r="B199">
        <f t="shared" ref="B199:B262" si="227">B198+1</f>
        <v>195</v>
      </c>
      <c r="C199" s="86">
        <v>2025</v>
      </c>
      <c r="D199" s="88">
        <v>2408</v>
      </c>
      <c r="E199" s="88">
        <v>1959</v>
      </c>
      <c r="F199" s="88">
        <v>2804</v>
      </c>
      <c r="G199">
        <v>0</v>
      </c>
      <c r="H199">
        <v>0</v>
      </c>
      <c r="I199" s="86">
        <v>2025</v>
      </c>
      <c r="J199">
        <v>491</v>
      </c>
      <c r="K199">
        <v>399</v>
      </c>
      <c r="L199">
        <v>572</v>
      </c>
      <c r="M199" s="94" t="s">
        <v>105</v>
      </c>
      <c r="T199" t="s">
        <v>476</v>
      </c>
    </row>
    <row r="200" spans="1:21" x14ac:dyDescent="0.25">
      <c r="B200">
        <f t="shared" si="227"/>
        <v>196</v>
      </c>
    </row>
    <row r="201" spans="1:21" ht="30" x14ac:dyDescent="0.25">
      <c r="B201">
        <f t="shared" si="227"/>
        <v>197</v>
      </c>
      <c r="D201" s="109" t="s">
        <v>493</v>
      </c>
      <c r="E201" s="109" t="s">
        <v>494</v>
      </c>
      <c r="F201" s="76" t="s">
        <v>152</v>
      </c>
      <c r="G201" s="71"/>
      <c r="H201" s="71"/>
      <c r="I201" s="75" t="s">
        <v>105</v>
      </c>
      <c r="J201" s="109" t="s">
        <v>493</v>
      </c>
      <c r="K201" s="109" t="s">
        <v>494</v>
      </c>
      <c r="L201" s="76" t="s">
        <v>152</v>
      </c>
      <c r="M201" s="96"/>
      <c r="N201" s="71" t="s">
        <v>148</v>
      </c>
      <c r="O201" s="71" t="s">
        <v>149</v>
      </c>
      <c r="P201" s="71" t="s">
        <v>147</v>
      </c>
      <c r="Q201" s="71" t="s">
        <v>156</v>
      </c>
      <c r="R201" s="71" t="s">
        <v>159</v>
      </c>
      <c r="S201" s="71"/>
      <c r="T201" s="78" t="s">
        <v>154</v>
      </c>
      <c r="U201" s="71"/>
    </row>
    <row r="202" spans="1:21" x14ac:dyDescent="0.25">
      <c r="A202" s="108" t="s">
        <v>79</v>
      </c>
      <c r="B202">
        <f t="shared" si="227"/>
        <v>198</v>
      </c>
      <c r="D202" s="69" t="s">
        <v>109</v>
      </c>
      <c r="E202" s="69" t="s">
        <v>109</v>
      </c>
      <c r="F202" s="69" t="s">
        <v>109</v>
      </c>
      <c r="I202" s="68" t="s">
        <v>105</v>
      </c>
      <c r="J202" s="69" t="s">
        <v>125</v>
      </c>
      <c r="K202" s="69" t="s">
        <v>125</v>
      </c>
      <c r="L202" s="69" t="s">
        <v>125</v>
      </c>
      <c r="M202" s="97"/>
      <c r="N202" s="69" t="s">
        <v>109</v>
      </c>
      <c r="O202" s="69" t="s">
        <v>125</v>
      </c>
      <c r="P202" s="69" t="s">
        <v>11</v>
      </c>
      <c r="Q202" s="69" t="s">
        <v>157</v>
      </c>
      <c r="R202" s="69" t="s">
        <v>157</v>
      </c>
      <c r="S202" s="69"/>
      <c r="T202" s="69"/>
      <c r="U202" s="69" t="s">
        <v>157</v>
      </c>
    </row>
    <row r="203" spans="1:21" x14ac:dyDescent="0.25">
      <c r="A203" t="s">
        <v>80</v>
      </c>
      <c r="B203">
        <f t="shared" si="227"/>
        <v>199</v>
      </c>
      <c r="C203" s="86" t="s">
        <v>168</v>
      </c>
      <c r="D203">
        <v>849</v>
      </c>
      <c r="E203">
        <v>835</v>
      </c>
      <c r="F203">
        <v>864</v>
      </c>
      <c r="G203">
        <v>0</v>
      </c>
      <c r="H203">
        <v>0</v>
      </c>
      <c r="I203" s="69" t="s">
        <v>110</v>
      </c>
      <c r="J203" s="69">
        <v>149</v>
      </c>
      <c r="K203" s="69">
        <v>146</v>
      </c>
      <c r="L203" s="69">
        <v>151</v>
      </c>
      <c r="M203" s="97">
        <f>N203/(O203*8.76)</f>
        <v>0.63972909196776073</v>
      </c>
      <c r="N203" s="69">
        <f>E203</f>
        <v>835</v>
      </c>
      <c r="O203">
        <f>J203</f>
        <v>149</v>
      </c>
      <c r="P203" s="90">
        <v>0.158</v>
      </c>
      <c r="Q203">
        <v>740</v>
      </c>
      <c r="R203">
        <v>0</v>
      </c>
      <c r="T203" t="s">
        <v>462</v>
      </c>
    </row>
    <row r="204" spans="1:21" x14ac:dyDescent="0.25">
      <c r="B204">
        <f t="shared" si="227"/>
        <v>200</v>
      </c>
      <c r="C204" s="86">
        <v>2012</v>
      </c>
      <c r="D204">
        <v>912</v>
      </c>
      <c r="E204">
        <v>882</v>
      </c>
      <c r="F204">
        <v>942</v>
      </c>
      <c r="G204">
        <v>0</v>
      </c>
      <c r="H204">
        <v>0</v>
      </c>
      <c r="I204" s="69" t="s">
        <v>111</v>
      </c>
      <c r="J204" s="69">
        <v>160</v>
      </c>
      <c r="K204" s="69">
        <v>154</v>
      </c>
      <c r="L204" s="69">
        <v>165</v>
      </c>
      <c r="P204" t="s">
        <v>488</v>
      </c>
      <c r="T204" t="s">
        <v>463</v>
      </c>
    </row>
    <row r="205" spans="1:21" x14ac:dyDescent="0.25">
      <c r="B205">
        <f t="shared" si="227"/>
        <v>201</v>
      </c>
      <c r="C205" s="86">
        <v>2013</v>
      </c>
      <c r="D205">
        <v>977</v>
      </c>
      <c r="E205">
        <v>931</v>
      </c>
      <c r="F205">
        <v>1024</v>
      </c>
      <c r="G205">
        <v>0</v>
      </c>
      <c r="H205">
        <v>0</v>
      </c>
      <c r="I205" s="69" t="s">
        <v>112</v>
      </c>
      <c r="J205" s="69">
        <v>171</v>
      </c>
      <c r="K205" s="69">
        <v>163</v>
      </c>
      <c r="L205" s="69">
        <v>179</v>
      </c>
      <c r="P205" s="21">
        <f ca="1">INDIRECT(A203&amp;"!c10")</f>
        <v>0.15</v>
      </c>
      <c r="T205" t="s">
        <v>464</v>
      </c>
    </row>
    <row r="206" spans="1:21" x14ac:dyDescent="0.25">
      <c r="B206">
        <f t="shared" si="227"/>
        <v>202</v>
      </c>
      <c r="C206" s="86">
        <v>2014</v>
      </c>
      <c r="D206">
        <v>1044</v>
      </c>
      <c r="E206">
        <v>980</v>
      </c>
      <c r="F206">
        <v>1108</v>
      </c>
      <c r="G206">
        <v>0</v>
      </c>
      <c r="H206">
        <v>0</v>
      </c>
      <c r="I206" s="69" t="s">
        <v>113</v>
      </c>
      <c r="J206" s="69">
        <v>183</v>
      </c>
      <c r="K206" s="69">
        <v>172</v>
      </c>
      <c r="L206" s="69">
        <v>194</v>
      </c>
      <c r="T206" t="s">
        <v>465</v>
      </c>
    </row>
    <row r="207" spans="1:21" x14ac:dyDescent="0.25">
      <c r="B207">
        <f t="shared" si="227"/>
        <v>203</v>
      </c>
      <c r="C207" s="86">
        <v>2015</v>
      </c>
      <c r="D207">
        <v>1235</v>
      </c>
      <c r="E207">
        <v>1154</v>
      </c>
      <c r="F207">
        <v>1195</v>
      </c>
      <c r="G207">
        <v>0</v>
      </c>
      <c r="H207">
        <v>0</v>
      </c>
      <c r="I207" s="69" t="s">
        <v>114</v>
      </c>
      <c r="J207" s="69">
        <v>215</v>
      </c>
      <c r="K207" s="69">
        <v>181</v>
      </c>
      <c r="L207" s="69">
        <v>209</v>
      </c>
      <c r="T207" t="s">
        <v>466</v>
      </c>
    </row>
    <row r="208" spans="1:21" x14ac:dyDescent="0.25">
      <c r="B208">
        <f t="shared" si="227"/>
        <v>204</v>
      </c>
      <c r="C208" s="86">
        <v>2016</v>
      </c>
      <c r="D208">
        <v>1306</v>
      </c>
      <c r="E208">
        <v>1205</v>
      </c>
      <c r="F208">
        <v>1285</v>
      </c>
      <c r="G208">
        <v>0</v>
      </c>
      <c r="H208">
        <v>0</v>
      </c>
      <c r="I208" s="69" t="s">
        <v>115</v>
      </c>
      <c r="J208" s="69">
        <v>229</v>
      </c>
      <c r="K208" s="69">
        <v>190</v>
      </c>
      <c r="L208" s="69">
        <v>225</v>
      </c>
      <c r="T208" t="s">
        <v>467</v>
      </c>
    </row>
    <row r="209" spans="1:21" x14ac:dyDescent="0.25">
      <c r="B209">
        <f t="shared" si="227"/>
        <v>205</v>
      </c>
      <c r="C209" s="86">
        <v>2017</v>
      </c>
      <c r="D209">
        <v>1379</v>
      </c>
      <c r="E209">
        <v>1258</v>
      </c>
      <c r="F209">
        <v>1379</v>
      </c>
      <c r="G209">
        <v>0</v>
      </c>
      <c r="H209">
        <v>0</v>
      </c>
      <c r="I209" s="69" t="s">
        <v>116</v>
      </c>
      <c r="J209" s="69">
        <v>243</v>
      </c>
      <c r="K209" s="69">
        <v>199</v>
      </c>
      <c r="L209" s="69">
        <v>241</v>
      </c>
      <c r="T209" t="s">
        <v>468</v>
      </c>
    </row>
    <row r="210" spans="1:21" x14ac:dyDescent="0.25">
      <c r="B210">
        <f t="shared" si="227"/>
        <v>206</v>
      </c>
      <c r="C210" s="86">
        <v>2018</v>
      </c>
      <c r="D210">
        <v>1454</v>
      </c>
      <c r="E210">
        <v>1312</v>
      </c>
      <c r="F210">
        <v>1476</v>
      </c>
      <c r="G210">
        <v>0</v>
      </c>
      <c r="H210">
        <v>0</v>
      </c>
      <c r="I210" s="69" t="s">
        <v>117</v>
      </c>
      <c r="J210" s="69">
        <v>257</v>
      </c>
      <c r="K210" s="69">
        <v>208</v>
      </c>
      <c r="L210" s="69">
        <v>258</v>
      </c>
      <c r="T210" t="s">
        <v>469</v>
      </c>
    </row>
    <row r="211" spans="1:21" x14ac:dyDescent="0.25">
      <c r="B211">
        <f t="shared" si="227"/>
        <v>207</v>
      </c>
      <c r="C211" s="86">
        <v>2019</v>
      </c>
      <c r="D211">
        <v>1530</v>
      </c>
      <c r="E211">
        <v>1368</v>
      </c>
      <c r="F211">
        <v>1576</v>
      </c>
      <c r="G211">
        <v>0</v>
      </c>
      <c r="H211">
        <v>0</v>
      </c>
      <c r="I211" s="69" t="s">
        <v>118</v>
      </c>
      <c r="J211" s="69">
        <v>272</v>
      </c>
      <c r="K211" s="69">
        <v>218</v>
      </c>
      <c r="L211" s="69">
        <v>276</v>
      </c>
      <c r="T211" t="s">
        <v>470</v>
      </c>
    </row>
    <row r="212" spans="1:21" x14ac:dyDescent="0.25">
      <c r="B212">
        <f t="shared" si="227"/>
        <v>208</v>
      </c>
      <c r="C212" s="86">
        <v>2020</v>
      </c>
      <c r="D212">
        <v>1609</v>
      </c>
      <c r="E212">
        <v>1424</v>
      </c>
      <c r="F212">
        <v>1680</v>
      </c>
      <c r="G212">
        <v>0</v>
      </c>
      <c r="H212">
        <v>0</v>
      </c>
      <c r="I212" s="69" t="s">
        <v>119</v>
      </c>
      <c r="J212" s="69">
        <v>287</v>
      </c>
      <c r="K212" s="69">
        <v>228</v>
      </c>
      <c r="L212" s="69">
        <v>294</v>
      </c>
      <c r="T212" t="s">
        <v>471</v>
      </c>
    </row>
    <row r="213" spans="1:21" x14ac:dyDescent="0.25">
      <c r="B213">
        <f t="shared" si="227"/>
        <v>209</v>
      </c>
      <c r="C213" s="86">
        <v>2021</v>
      </c>
      <c r="D213">
        <v>1691</v>
      </c>
      <c r="E213">
        <v>1482</v>
      </c>
      <c r="F213">
        <v>1787</v>
      </c>
      <c r="G213">
        <v>0</v>
      </c>
      <c r="H213">
        <v>0</v>
      </c>
      <c r="I213" s="69" t="s">
        <v>120</v>
      </c>
      <c r="J213" s="69">
        <v>303</v>
      </c>
      <c r="K213" s="69">
        <v>238</v>
      </c>
      <c r="L213" s="69">
        <v>313</v>
      </c>
      <c r="T213" t="s">
        <v>472</v>
      </c>
    </row>
    <row r="214" spans="1:21" x14ac:dyDescent="0.25">
      <c r="B214">
        <f t="shared" si="227"/>
        <v>210</v>
      </c>
      <c r="C214" s="86">
        <v>2022</v>
      </c>
      <c r="D214">
        <v>1774</v>
      </c>
      <c r="E214">
        <v>1541</v>
      </c>
      <c r="F214">
        <v>1898</v>
      </c>
      <c r="G214">
        <v>0</v>
      </c>
      <c r="H214">
        <v>0</v>
      </c>
      <c r="I214" s="69" t="s">
        <v>121</v>
      </c>
      <c r="J214" s="69">
        <v>319</v>
      </c>
      <c r="K214" s="69">
        <v>248</v>
      </c>
      <c r="L214" s="69">
        <v>332</v>
      </c>
      <c r="T214" t="s">
        <v>473</v>
      </c>
    </row>
    <row r="215" spans="1:21" x14ac:dyDescent="0.25">
      <c r="B215">
        <f t="shared" si="227"/>
        <v>211</v>
      </c>
      <c r="C215" s="86">
        <v>2023</v>
      </c>
      <c r="D215">
        <v>1860</v>
      </c>
      <c r="E215">
        <v>1601</v>
      </c>
      <c r="F215">
        <v>2013</v>
      </c>
      <c r="G215">
        <v>0</v>
      </c>
      <c r="H215">
        <v>0</v>
      </c>
      <c r="I215" s="69" t="s">
        <v>122</v>
      </c>
      <c r="J215" s="69">
        <v>336</v>
      </c>
      <c r="K215" s="69">
        <v>259</v>
      </c>
      <c r="L215" s="69">
        <v>352</v>
      </c>
      <c r="T215" t="s">
        <v>474</v>
      </c>
    </row>
    <row r="216" spans="1:21" x14ac:dyDescent="0.25">
      <c r="B216">
        <f t="shared" si="227"/>
        <v>212</v>
      </c>
      <c r="C216" s="86">
        <v>2024</v>
      </c>
      <c r="D216">
        <v>1948</v>
      </c>
      <c r="E216">
        <v>1662</v>
      </c>
      <c r="F216">
        <v>2132</v>
      </c>
      <c r="G216">
        <v>0</v>
      </c>
      <c r="H216">
        <v>0</v>
      </c>
      <c r="I216" s="69" t="s">
        <v>123</v>
      </c>
      <c r="J216" s="69">
        <v>353</v>
      </c>
      <c r="K216" s="69">
        <v>270</v>
      </c>
      <c r="L216" s="69">
        <v>373</v>
      </c>
      <c r="T216" t="s">
        <v>475</v>
      </c>
    </row>
    <row r="217" spans="1:21" x14ac:dyDescent="0.25">
      <c r="B217">
        <f t="shared" si="227"/>
        <v>213</v>
      </c>
      <c r="C217" s="86">
        <v>2025</v>
      </c>
      <c r="D217">
        <v>2039</v>
      </c>
      <c r="E217">
        <v>1725</v>
      </c>
      <c r="F217">
        <v>2254</v>
      </c>
      <c r="G217">
        <v>0</v>
      </c>
      <c r="H217">
        <v>0</v>
      </c>
      <c r="I217" s="69" t="s">
        <v>124</v>
      </c>
      <c r="J217" s="69">
        <v>370</v>
      </c>
      <c r="K217" s="69">
        <v>280</v>
      </c>
      <c r="L217" s="69">
        <v>395</v>
      </c>
      <c r="T217" t="s">
        <v>476</v>
      </c>
    </row>
    <row r="218" spans="1:21" x14ac:dyDescent="0.25">
      <c r="B218">
        <f t="shared" si="227"/>
        <v>214</v>
      </c>
    </row>
    <row r="219" spans="1:21" ht="30" x14ac:dyDescent="0.25">
      <c r="B219">
        <f t="shared" si="227"/>
        <v>215</v>
      </c>
      <c r="C219" s="75" t="s">
        <v>105</v>
      </c>
      <c r="D219" s="109" t="s">
        <v>493</v>
      </c>
      <c r="E219" s="109" t="s">
        <v>494</v>
      </c>
      <c r="F219" s="76" t="s">
        <v>152</v>
      </c>
      <c r="G219" s="71"/>
      <c r="H219" s="71"/>
      <c r="I219" s="75" t="s">
        <v>105</v>
      </c>
      <c r="J219" s="109" t="s">
        <v>493</v>
      </c>
      <c r="K219" s="109" t="s">
        <v>494</v>
      </c>
      <c r="L219" s="76" t="s">
        <v>152</v>
      </c>
      <c r="M219" s="96"/>
      <c r="N219" s="71" t="s">
        <v>148</v>
      </c>
      <c r="O219" s="71" t="s">
        <v>149</v>
      </c>
      <c r="P219" s="71" t="s">
        <v>147</v>
      </c>
      <c r="Q219" s="71" t="s">
        <v>156</v>
      </c>
      <c r="R219" s="71" t="s">
        <v>159</v>
      </c>
      <c r="S219" s="71"/>
      <c r="T219" s="78" t="s">
        <v>154</v>
      </c>
      <c r="U219" s="71"/>
    </row>
    <row r="220" spans="1:21" x14ac:dyDescent="0.25">
      <c r="A220" s="108" t="s">
        <v>81</v>
      </c>
      <c r="B220">
        <f t="shared" si="227"/>
        <v>216</v>
      </c>
      <c r="C220" s="68" t="s">
        <v>105</v>
      </c>
      <c r="D220" s="69" t="s">
        <v>109</v>
      </c>
      <c r="E220" s="69" t="s">
        <v>109</v>
      </c>
      <c r="F220" s="69" t="s">
        <v>109</v>
      </c>
      <c r="I220" s="68" t="s">
        <v>105</v>
      </c>
      <c r="J220" s="69" t="s">
        <v>125</v>
      </c>
      <c r="K220" s="69" t="s">
        <v>125</v>
      </c>
      <c r="L220" s="69" t="s">
        <v>125</v>
      </c>
      <c r="M220" s="97"/>
      <c r="N220" s="69" t="s">
        <v>109</v>
      </c>
      <c r="O220" s="69" t="s">
        <v>125</v>
      </c>
      <c r="P220" s="69" t="s">
        <v>11</v>
      </c>
      <c r="Q220" s="69" t="s">
        <v>157</v>
      </c>
      <c r="R220" s="69" t="s">
        <v>157</v>
      </c>
      <c r="S220" s="69"/>
      <c r="T220" s="69"/>
      <c r="U220" s="69" t="s">
        <v>157</v>
      </c>
    </row>
    <row r="221" spans="1:21" x14ac:dyDescent="0.25">
      <c r="A221" t="s">
        <v>82</v>
      </c>
      <c r="B221">
        <f t="shared" si="227"/>
        <v>217</v>
      </c>
      <c r="C221" s="86" t="s">
        <v>168</v>
      </c>
      <c r="D221" s="107">
        <f>VALUE(K244&amp;L244)</f>
        <v>39102</v>
      </c>
      <c r="E221" s="107">
        <f>VALUE(M244&amp;N244)</f>
        <v>25524</v>
      </c>
      <c r="F221" s="84">
        <v>27978</v>
      </c>
      <c r="G221">
        <v>0</v>
      </c>
      <c r="H221">
        <v>0</v>
      </c>
      <c r="I221" s="86" t="s">
        <v>168</v>
      </c>
      <c r="J221">
        <v>6376</v>
      </c>
      <c r="K221">
        <v>4162</v>
      </c>
      <c r="L221">
        <v>4563</v>
      </c>
      <c r="M221" s="97">
        <f>N221/(O221*8.76)</f>
        <v>0.52467727316765311</v>
      </c>
      <c r="N221">
        <f>(20833+E221)/2</f>
        <v>23178.5</v>
      </c>
      <c r="O221">
        <f>(3710+J221)/2</f>
        <v>5043</v>
      </c>
      <c r="P221" s="90">
        <v>0.158</v>
      </c>
      <c r="Q221">
        <v>0</v>
      </c>
      <c r="R221">
        <v>1234</v>
      </c>
      <c r="T221" t="s">
        <v>462</v>
      </c>
      <c r="U221">
        <v>1263.5840194995706</v>
      </c>
    </row>
    <row r="222" spans="1:21" x14ac:dyDescent="0.25">
      <c r="B222">
        <f t="shared" si="227"/>
        <v>218</v>
      </c>
      <c r="C222" s="86">
        <v>2012</v>
      </c>
      <c r="D222" s="107">
        <f t="shared" ref="D222:D235" si="228">VALUE(K245&amp;L245)</f>
        <v>58069</v>
      </c>
      <c r="E222" s="107">
        <f t="shared" ref="E222:E235" si="229">VALUE(M245&amp;N245)</f>
        <v>34570</v>
      </c>
      <c r="F222" s="84">
        <v>33443</v>
      </c>
      <c r="G222">
        <v>0</v>
      </c>
      <c r="H222">
        <v>0</v>
      </c>
      <c r="I222" s="86">
        <v>2012</v>
      </c>
      <c r="J222">
        <v>9471</v>
      </c>
      <c r="K222">
        <v>5638</v>
      </c>
      <c r="L222">
        <v>5454</v>
      </c>
      <c r="M222" s="94" t="s">
        <v>105</v>
      </c>
      <c r="P222" t="s">
        <v>488</v>
      </c>
      <c r="T222" t="s">
        <v>463</v>
      </c>
      <c r="U222">
        <v>1278.5569374169695</v>
      </c>
    </row>
    <row r="223" spans="1:21" x14ac:dyDescent="0.25">
      <c r="B223">
        <f t="shared" si="227"/>
        <v>219</v>
      </c>
      <c r="C223" s="86">
        <v>2013</v>
      </c>
      <c r="D223" s="107">
        <f t="shared" si="228"/>
        <v>61321</v>
      </c>
      <c r="E223" s="107">
        <f t="shared" si="229"/>
        <v>43624</v>
      </c>
      <c r="F223" s="84">
        <v>39976</v>
      </c>
      <c r="G223">
        <v>0</v>
      </c>
      <c r="H223">
        <v>0</v>
      </c>
      <c r="I223" s="86">
        <v>2013</v>
      </c>
      <c r="J223">
        <v>10000</v>
      </c>
      <c r="K223">
        <v>7114</v>
      </c>
      <c r="L223">
        <v>6519</v>
      </c>
      <c r="M223" s="94" t="s">
        <v>105</v>
      </c>
      <c r="P223" s="21">
        <f ca="1">INDIRECT(A221&amp;"!c10")</f>
        <v>0.15</v>
      </c>
      <c r="T223" t="s">
        <v>464</v>
      </c>
      <c r="U223">
        <v>1286.2197228473271</v>
      </c>
    </row>
    <row r="224" spans="1:21" x14ac:dyDescent="0.25">
      <c r="B224">
        <f t="shared" si="227"/>
        <v>220</v>
      </c>
      <c r="C224" s="86">
        <v>2014</v>
      </c>
      <c r="D224" s="107">
        <f t="shared" si="228"/>
        <v>64964</v>
      </c>
      <c r="E224" s="107">
        <f t="shared" si="229"/>
        <v>56272</v>
      </c>
      <c r="F224" s="84">
        <v>47784</v>
      </c>
      <c r="G224">
        <v>0</v>
      </c>
      <c r="H224">
        <v>0</v>
      </c>
      <c r="I224" s="86">
        <v>2014</v>
      </c>
      <c r="J224">
        <v>10595</v>
      </c>
      <c r="K224">
        <v>9177</v>
      </c>
      <c r="L224">
        <v>7793</v>
      </c>
      <c r="M224" s="94" t="s">
        <v>105</v>
      </c>
      <c r="T224" t="s">
        <v>465</v>
      </c>
      <c r="U224">
        <v>1290.1186581551738</v>
      </c>
    </row>
    <row r="225" spans="2:21" x14ac:dyDescent="0.25">
      <c r="B225">
        <f t="shared" si="227"/>
        <v>221</v>
      </c>
      <c r="C225" s="86">
        <v>2015</v>
      </c>
      <c r="D225" s="107">
        <f t="shared" si="228"/>
        <v>68830</v>
      </c>
      <c r="E225" s="107">
        <f t="shared" si="229"/>
        <v>65178</v>
      </c>
      <c r="F225" s="84">
        <v>53515</v>
      </c>
      <c r="G225">
        <v>0</v>
      </c>
      <c r="H225">
        <v>0</v>
      </c>
      <c r="I225" s="86">
        <v>2015</v>
      </c>
      <c r="J225">
        <v>11225</v>
      </c>
      <c r="K225">
        <v>10629</v>
      </c>
      <c r="L225">
        <v>8727</v>
      </c>
      <c r="M225" s="94" t="s">
        <v>105</v>
      </c>
      <c r="T225" t="s">
        <v>466</v>
      </c>
      <c r="U225">
        <v>1292.0966513520621</v>
      </c>
    </row>
    <row r="226" spans="2:21" x14ac:dyDescent="0.25">
      <c r="B226">
        <f t="shared" si="227"/>
        <v>222</v>
      </c>
      <c r="C226" s="86">
        <v>2016</v>
      </c>
      <c r="D226" s="107">
        <f t="shared" si="228"/>
        <v>72926</v>
      </c>
      <c r="E226" s="107">
        <f t="shared" si="229"/>
        <v>6958</v>
      </c>
      <c r="F226" s="84">
        <v>59919</v>
      </c>
      <c r="G226">
        <v>0</v>
      </c>
      <c r="H226">
        <v>0</v>
      </c>
      <c r="I226" s="86">
        <v>2016</v>
      </c>
      <c r="J226">
        <v>11892</v>
      </c>
      <c r="K226">
        <v>11261</v>
      </c>
      <c r="L226">
        <v>9772</v>
      </c>
      <c r="M226" s="94" t="s">
        <v>105</v>
      </c>
      <c r="T226" t="s">
        <v>467</v>
      </c>
      <c r="U226">
        <v>1293.0986206427995</v>
      </c>
    </row>
    <row r="227" spans="2:21" x14ac:dyDescent="0.25">
      <c r="B227">
        <f t="shared" si="227"/>
        <v>223</v>
      </c>
      <c r="C227" s="86">
        <v>2017</v>
      </c>
      <c r="D227" s="107">
        <f t="shared" si="228"/>
        <v>77258</v>
      </c>
      <c r="E227" s="107">
        <f t="shared" si="229"/>
        <v>72339</v>
      </c>
      <c r="F227" s="84">
        <v>67079</v>
      </c>
      <c r="G227">
        <v>0</v>
      </c>
      <c r="H227">
        <v>0</v>
      </c>
      <c r="I227" s="86">
        <v>2017</v>
      </c>
      <c r="J227">
        <v>12599</v>
      </c>
      <c r="K227">
        <v>11797</v>
      </c>
      <c r="L227">
        <v>10939</v>
      </c>
      <c r="M227" s="94" t="s">
        <v>105</v>
      </c>
      <c r="T227" t="s">
        <v>468</v>
      </c>
      <c r="U227">
        <v>1293.6057927156696</v>
      </c>
    </row>
    <row r="228" spans="2:21" x14ac:dyDescent="0.25">
      <c r="B228">
        <f t="shared" si="227"/>
        <v>224</v>
      </c>
      <c r="C228" s="86">
        <v>2018</v>
      </c>
      <c r="D228" s="107">
        <f t="shared" si="228"/>
        <v>81856</v>
      </c>
      <c r="E228" s="107">
        <f t="shared" si="229"/>
        <v>75784</v>
      </c>
      <c r="F228" s="84">
        <v>75080</v>
      </c>
      <c r="G228">
        <v>0</v>
      </c>
      <c r="H228">
        <v>0</v>
      </c>
      <c r="I228" s="86">
        <v>2018</v>
      </c>
      <c r="J228">
        <v>13348</v>
      </c>
      <c r="K228">
        <v>12358</v>
      </c>
      <c r="L228">
        <v>12244</v>
      </c>
      <c r="M228" s="94" t="s">
        <v>105</v>
      </c>
      <c r="T228" t="s">
        <v>469</v>
      </c>
      <c r="U228">
        <v>1293.8624123651068</v>
      </c>
    </row>
    <row r="229" spans="2:21" x14ac:dyDescent="0.25">
      <c r="B229">
        <f t="shared" si="227"/>
        <v>225</v>
      </c>
      <c r="C229" s="86">
        <v>2019</v>
      </c>
      <c r="D229" s="107">
        <f t="shared" si="228"/>
        <v>86717</v>
      </c>
      <c r="E229" s="107">
        <f t="shared" si="229"/>
        <v>79383</v>
      </c>
      <c r="F229" s="84">
        <v>84023</v>
      </c>
      <c r="G229">
        <v>0</v>
      </c>
      <c r="H229">
        <v>0</v>
      </c>
      <c r="I229" s="86">
        <v>2019</v>
      </c>
      <c r="J229">
        <v>14142</v>
      </c>
      <c r="K229">
        <v>12946</v>
      </c>
      <c r="L229">
        <v>13702</v>
      </c>
      <c r="M229" s="94" t="s">
        <v>105</v>
      </c>
      <c r="T229" t="s">
        <v>470</v>
      </c>
      <c r="U229">
        <v>1293.99223198254</v>
      </c>
    </row>
    <row r="230" spans="2:21" x14ac:dyDescent="0.25">
      <c r="B230">
        <f t="shared" si="227"/>
        <v>226</v>
      </c>
      <c r="C230" s="86">
        <v>2020</v>
      </c>
      <c r="D230" s="107">
        <f t="shared" si="228"/>
        <v>91873</v>
      </c>
      <c r="E230" s="107">
        <f t="shared" si="229"/>
        <v>83159</v>
      </c>
      <c r="F230" s="84">
        <v>93632</v>
      </c>
      <c r="G230">
        <v>0</v>
      </c>
      <c r="H230">
        <v>0</v>
      </c>
      <c r="I230" s="86">
        <v>2020</v>
      </c>
      <c r="J230">
        <v>14983</v>
      </c>
      <c r="K230">
        <v>13562</v>
      </c>
      <c r="L230">
        <v>15269</v>
      </c>
      <c r="M230" s="94" t="s">
        <v>105</v>
      </c>
      <c r="T230" t="s">
        <v>471</v>
      </c>
      <c r="U230">
        <v>1294.0578991329132</v>
      </c>
    </row>
    <row r="231" spans="2:21" x14ac:dyDescent="0.25">
      <c r="B231">
        <f t="shared" si="227"/>
        <v>227</v>
      </c>
      <c r="C231" s="86">
        <v>2021</v>
      </c>
      <c r="D231" s="107">
        <f t="shared" si="228"/>
        <v>98732</v>
      </c>
      <c r="E231" s="107">
        <f t="shared" si="229"/>
        <v>88365</v>
      </c>
      <c r="F231" s="84">
        <v>104327</v>
      </c>
      <c r="G231">
        <v>0</v>
      </c>
      <c r="H231">
        <v>0</v>
      </c>
      <c r="I231" s="86">
        <v>2021</v>
      </c>
      <c r="J231">
        <v>15874</v>
      </c>
      <c r="K231">
        <v>14207</v>
      </c>
      <c r="L231">
        <v>16774</v>
      </c>
      <c r="M231" s="94" t="s">
        <v>105</v>
      </c>
      <c r="T231" t="s">
        <v>472</v>
      </c>
      <c r="U231">
        <v>1294.0911141501506</v>
      </c>
    </row>
    <row r="232" spans="2:21" x14ac:dyDescent="0.25">
      <c r="B232">
        <f t="shared" si="227"/>
        <v>228</v>
      </c>
      <c r="C232" s="86">
        <v>2022</v>
      </c>
      <c r="D232" s="107">
        <f t="shared" si="228"/>
        <v>104604</v>
      </c>
      <c r="E232" s="107">
        <f t="shared" si="229"/>
        <v>92569</v>
      </c>
      <c r="F232" s="84">
        <v>116231</v>
      </c>
      <c r="G232">
        <v>0</v>
      </c>
      <c r="H232">
        <v>0</v>
      </c>
      <c r="I232" s="86">
        <v>2022</v>
      </c>
      <c r="J232">
        <v>16818</v>
      </c>
      <c r="K232">
        <v>14883</v>
      </c>
      <c r="L232">
        <v>18688</v>
      </c>
      <c r="M232" s="94" t="s">
        <v>105</v>
      </c>
      <c r="T232" t="s">
        <v>473</v>
      </c>
      <c r="U232">
        <v>1294.1079141741445</v>
      </c>
    </row>
    <row r="233" spans="2:21" x14ac:dyDescent="0.25">
      <c r="B233">
        <f t="shared" si="227"/>
        <v>229</v>
      </c>
      <c r="C233" s="86">
        <v>2023</v>
      </c>
      <c r="D233" s="107">
        <f t="shared" si="228"/>
        <v>110821</v>
      </c>
      <c r="E233" s="107">
        <f t="shared" si="229"/>
        <v>96969</v>
      </c>
      <c r="F233" s="84">
        <v>129480</v>
      </c>
      <c r="G233">
        <v>0</v>
      </c>
      <c r="H233">
        <v>0</v>
      </c>
      <c r="I233" s="86">
        <v>2023</v>
      </c>
      <c r="J233">
        <v>17818</v>
      </c>
      <c r="K233">
        <v>15591</v>
      </c>
      <c r="L233">
        <v>20818</v>
      </c>
      <c r="M233" s="94" t="s">
        <v>105</v>
      </c>
      <c r="T233" t="s">
        <v>474</v>
      </c>
      <c r="U233">
        <v>1294.116411451866</v>
      </c>
    </row>
    <row r="234" spans="2:21" x14ac:dyDescent="0.25">
      <c r="B234">
        <f t="shared" si="227"/>
        <v>230</v>
      </c>
      <c r="C234" s="86">
        <v>2024</v>
      </c>
      <c r="D234" s="107">
        <f t="shared" si="228"/>
        <v>117412</v>
      </c>
      <c r="E234" s="107">
        <f t="shared" si="229"/>
        <v>101584</v>
      </c>
      <c r="F234" s="84">
        <v>144224</v>
      </c>
      <c r="G234">
        <v>0</v>
      </c>
      <c r="H234">
        <v>0</v>
      </c>
      <c r="I234" s="86">
        <v>2024</v>
      </c>
      <c r="J234">
        <v>18877</v>
      </c>
      <c r="K234">
        <v>16333</v>
      </c>
      <c r="L234">
        <v>23189</v>
      </c>
      <c r="M234" s="94" t="s">
        <v>105</v>
      </c>
      <c r="T234" t="s">
        <v>475</v>
      </c>
      <c r="U234">
        <v>1294.120709259146</v>
      </c>
    </row>
    <row r="235" spans="2:21" x14ac:dyDescent="0.25">
      <c r="B235">
        <f t="shared" si="227"/>
        <v>231</v>
      </c>
      <c r="C235" s="86">
        <v>2025</v>
      </c>
      <c r="D235" s="107">
        <f t="shared" si="228"/>
        <v>124393</v>
      </c>
      <c r="E235" s="107">
        <f t="shared" si="229"/>
        <v>106415</v>
      </c>
      <c r="F235" s="84">
        <v>160632</v>
      </c>
      <c r="G235">
        <v>0</v>
      </c>
      <c r="H235">
        <v>0</v>
      </c>
      <c r="I235" s="86">
        <v>2025</v>
      </c>
      <c r="J235">
        <v>20000</v>
      </c>
      <c r="K235">
        <v>17110</v>
      </c>
      <c r="L235">
        <v>25827</v>
      </c>
      <c r="M235" s="94" t="s">
        <v>105</v>
      </c>
      <c r="T235" t="s">
        <v>476</v>
      </c>
      <c r="U235">
        <v>1294.1228830244484</v>
      </c>
    </row>
    <row r="236" spans="2:21" x14ac:dyDescent="0.25">
      <c r="B236">
        <f t="shared" si="227"/>
        <v>232</v>
      </c>
    </row>
    <row r="237" spans="2:21" x14ac:dyDescent="0.25">
      <c r="B237">
        <f t="shared" si="227"/>
        <v>233</v>
      </c>
    </row>
    <row r="238" spans="2:21" x14ac:dyDescent="0.25">
      <c r="B238">
        <f t="shared" si="227"/>
        <v>234</v>
      </c>
    </row>
    <row r="239" spans="2:21" x14ac:dyDescent="0.25">
      <c r="B239">
        <f t="shared" si="227"/>
        <v>235</v>
      </c>
    </row>
    <row r="240" spans="2:21" x14ac:dyDescent="0.25">
      <c r="B240">
        <f t="shared" si="227"/>
        <v>236</v>
      </c>
    </row>
    <row r="241" spans="2:18" x14ac:dyDescent="0.25">
      <c r="B241">
        <f t="shared" si="227"/>
        <v>237</v>
      </c>
    </row>
    <row r="242" spans="2:18" x14ac:dyDescent="0.25">
      <c r="B242">
        <f t="shared" si="227"/>
        <v>238</v>
      </c>
    </row>
    <row r="243" spans="2:18" x14ac:dyDescent="0.25">
      <c r="B243">
        <f t="shared" si="227"/>
        <v>239</v>
      </c>
    </row>
    <row r="244" spans="2:18" x14ac:dyDescent="0.25">
      <c r="B244">
        <f t="shared" si="227"/>
        <v>240</v>
      </c>
      <c r="J244">
        <v>2011</v>
      </c>
      <c r="K244">
        <v>39</v>
      </c>
      <c r="L244">
        <v>102</v>
      </c>
      <c r="M244" s="98">
        <v>25</v>
      </c>
      <c r="N244">
        <v>524</v>
      </c>
      <c r="O244">
        <v>6</v>
      </c>
      <c r="P244">
        <v>376</v>
      </c>
      <c r="Q244">
        <v>4</v>
      </c>
      <c r="R244">
        <v>162</v>
      </c>
    </row>
    <row r="245" spans="2:18" x14ac:dyDescent="0.25">
      <c r="B245">
        <f t="shared" si="227"/>
        <v>241</v>
      </c>
      <c r="J245">
        <v>2012</v>
      </c>
      <c r="K245">
        <v>58</v>
      </c>
      <c r="L245" s="106" t="s">
        <v>492</v>
      </c>
      <c r="M245" s="98">
        <v>34</v>
      </c>
      <c r="N245">
        <v>570</v>
      </c>
      <c r="O245">
        <v>9</v>
      </c>
      <c r="P245">
        <v>471</v>
      </c>
      <c r="Q245">
        <v>5</v>
      </c>
      <c r="R245">
        <v>638</v>
      </c>
    </row>
    <row r="246" spans="2:18" x14ac:dyDescent="0.25">
      <c r="B246">
        <f t="shared" si="227"/>
        <v>242</v>
      </c>
      <c r="J246">
        <v>2013</v>
      </c>
      <c r="K246">
        <v>61</v>
      </c>
      <c r="L246">
        <v>321</v>
      </c>
      <c r="M246" s="98">
        <v>43</v>
      </c>
      <c r="N246">
        <v>624</v>
      </c>
      <c r="O246">
        <v>10</v>
      </c>
      <c r="P246">
        <v>0</v>
      </c>
      <c r="Q246">
        <v>7</v>
      </c>
      <c r="R246">
        <v>114</v>
      </c>
    </row>
    <row r="247" spans="2:18" x14ac:dyDescent="0.25">
      <c r="B247">
        <f t="shared" si="227"/>
        <v>243</v>
      </c>
      <c r="J247">
        <v>2014</v>
      </c>
      <c r="K247">
        <v>64</v>
      </c>
      <c r="L247">
        <v>964</v>
      </c>
      <c r="M247" s="98">
        <v>56</v>
      </c>
      <c r="N247">
        <v>272</v>
      </c>
      <c r="O247">
        <v>10</v>
      </c>
      <c r="P247">
        <v>595</v>
      </c>
      <c r="Q247">
        <v>9</v>
      </c>
      <c r="R247">
        <v>177</v>
      </c>
    </row>
    <row r="248" spans="2:18" x14ac:dyDescent="0.25">
      <c r="B248">
        <f t="shared" si="227"/>
        <v>244</v>
      </c>
      <c r="J248">
        <v>2015</v>
      </c>
      <c r="K248">
        <v>68</v>
      </c>
      <c r="L248">
        <v>830</v>
      </c>
      <c r="M248" s="98">
        <v>65</v>
      </c>
      <c r="N248">
        <v>178</v>
      </c>
      <c r="O248">
        <v>11</v>
      </c>
      <c r="P248">
        <v>225</v>
      </c>
      <c r="Q248">
        <v>10</v>
      </c>
      <c r="R248">
        <v>629</v>
      </c>
    </row>
    <row r="249" spans="2:18" x14ac:dyDescent="0.25">
      <c r="B249">
        <f t="shared" si="227"/>
        <v>245</v>
      </c>
      <c r="J249">
        <v>2016</v>
      </c>
      <c r="K249">
        <v>72</v>
      </c>
      <c r="L249">
        <v>926</v>
      </c>
      <c r="M249" s="98">
        <v>69</v>
      </c>
      <c r="N249">
        <v>58</v>
      </c>
      <c r="O249">
        <v>11</v>
      </c>
      <c r="P249">
        <v>892</v>
      </c>
      <c r="Q249">
        <v>11</v>
      </c>
      <c r="R249">
        <v>261</v>
      </c>
    </row>
    <row r="250" spans="2:18" x14ac:dyDescent="0.25">
      <c r="B250">
        <f t="shared" si="227"/>
        <v>246</v>
      </c>
      <c r="J250">
        <v>2017</v>
      </c>
      <c r="K250">
        <v>77</v>
      </c>
      <c r="L250">
        <v>258</v>
      </c>
      <c r="M250" s="98">
        <v>72</v>
      </c>
      <c r="N250">
        <v>339</v>
      </c>
      <c r="O250">
        <v>12</v>
      </c>
      <c r="P250">
        <v>599</v>
      </c>
      <c r="Q250">
        <v>11</v>
      </c>
      <c r="R250">
        <v>797</v>
      </c>
    </row>
    <row r="251" spans="2:18" x14ac:dyDescent="0.25">
      <c r="B251">
        <f t="shared" si="227"/>
        <v>247</v>
      </c>
      <c r="J251">
        <v>2018</v>
      </c>
      <c r="K251">
        <v>81</v>
      </c>
      <c r="L251">
        <v>856</v>
      </c>
      <c r="M251" s="98">
        <v>75</v>
      </c>
      <c r="N251">
        <v>784</v>
      </c>
      <c r="O251">
        <v>13</v>
      </c>
      <c r="P251">
        <v>348</v>
      </c>
      <c r="Q251">
        <v>12</v>
      </c>
      <c r="R251">
        <v>358</v>
      </c>
    </row>
    <row r="252" spans="2:18" x14ac:dyDescent="0.25">
      <c r="B252">
        <f t="shared" si="227"/>
        <v>248</v>
      </c>
      <c r="J252">
        <v>2019</v>
      </c>
      <c r="K252">
        <v>86</v>
      </c>
      <c r="L252">
        <v>717</v>
      </c>
      <c r="M252" s="98">
        <v>79</v>
      </c>
      <c r="N252">
        <v>383</v>
      </c>
      <c r="O252">
        <v>14</v>
      </c>
      <c r="P252">
        <v>142</v>
      </c>
      <c r="Q252">
        <v>12</v>
      </c>
      <c r="R252">
        <v>946</v>
      </c>
    </row>
    <row r="253" spans="2:18" x14ac:dyDescent="0.25">
      <c r="B253">
        <f t="shared" si="227"/>
        <v>249</v>
      </c>
      <c r="J253">
        <v>2020</v>
      </c>
      <c r="K253">
        <v>91</v>
      </c>
      <c r="L253">
        <v>873</v>
      </c>
      <c r="M253" s="98">
        <v>83</v>
      </c>
      <c r="N253">
        <v>159</v>
      </c>
      <c r="O253">
        <v>14</v>
      </c>
      <c r="P253">
        <v>983</v>
      </c>
      <c r="Q253">
        <v>13</v>
      </c>
      <c r="R253">
        <v>562</v>
      </c>
    </row>
    <row r="254" spans="2:18" x14ac:dyDescent="0.25">
      <c r="B254">
        <f t="shared" si="227"/>
        <v>250</v>
      </c>
      <c r="J254">
        <v>2021</v>
      </c>
      <c r="K254">
        <v>98</v>
      </c>
      <c r="L254">
        <v>732</v>
      </c>
      <c r="M254" s="98">
        <v>88</v>
      </c>
      <c r="N254">
        <v>365</v>
      </c>
      <c r="O254">
        <v>15</v>
      </c>
      <c r="P254">
        <v>874</v>
      </c>
      <c r="Q254">
        <v>14</v>
      </c>
      <c r="R254">
        <v>207</v>
      </c>
    </row>
    <row r="255" spans="2:18" x14ac:dyDescent="0.25">
      <c r="B255">
        <f t="shared" si="227"/>
        <v>251</v>
      </c>
      <c r="J255">
        <v>2022</v>
      </c>
      <c r="K255">
        <v>104</v>
      </c>
      <c r="L255">
        <v>604</v>
      </c>
      <c r="M255" s="98">
        <v>92</v>
      </c>
      <c r="N255">
        <v>569</v>
      </c>
      <c r="O255">
        <v>16</v>
      </c>
      <c r="P255">
        <v>818</v>
      </c>
      <c r="Q255">
        <v>14</v>
      </c>
      <c r="R255">
        <v>883</v>
      </c>
    </row>
    <row r="256" spans="2:18" x14ac:dyDescent="0.25">
      <c r="B256">
        <f t="shared" si="227"/>
        <v>252</v>
      </c>
      <c r="J256">
        <v>2023</v>
      </c>
      <c r="K256">
        <v>110</v>
      </c>
      <c r="L256">
        <v>821</v>
      </c>
      <c r="M256" s="98">
        <v>96</v>
      </c>
      <c r="N256">
        <v>969</v>
      </c>
      <c r="O256">
        <v>17</v>
      </c>
      <c r="P256">
        <v>818</v>
      </c>
      <c r="Q256">
        <v>15</v>
      </c>
      <c r="R256">
        <v>591</v>
      </c>
    </row>
    <row r="257" spans="2:18" x14ac:dyDescent="0.25">
      <c r="B257">
        <f t="shared" si="227"/>
        <v>253</v>
      </c>
      <c r="J257">
        <v>2024</v>
      </c>
      <c r="K257">
        <v>117</v>
      </c>
      <c r="L257">
        <v>412</v>
      </c>
      <c r="M257" s="98">
        <v>101</v>
      </c>
      <c r="N257">
        <v>584</v>
      </c>
      <c r="O257">
        <v>18</v>
      </c>
      <c r="P257">
        <v>877</v>
      </c>
      <c r="Q257">
        <v>16</v>
      </c>
      <c r="R257">
        <v>333</v>
      </c>
    </row>
    <row r="258" spans="2:18" x14ac:dyDescent="0.25">
      <c r="B258">
        <f t="shared" si="227"/>
        <v>254</v>
      </c>
      <c r="J258">
        <v>2025</v>
      </c>
      <c r="K258">
        <v>124</v>
      </c>
      <c r="L258">
        <v>393</v>
      </c>
      <c r="M258" s="98">
        <v>106</v>
      </c>
      <c r="N258">
        <v>415</v>
      </c>
      <c r="O258">
        <v>20</v>
      </c>
      <c r="P258">
        <v>0</v>
      </c>
      <c r="Q258">
        <v>17</v>
      </c>
      <c r="R258">
        <v>110</v>
      </c>
    </row>
    <row r="259" spans="2:18" x14ac:dyDescent="0.25">
      <c r="B259">
        <f t="shared" si="227"/>
        <v>255</v>
      </c>
    </row>
    <row r="260" spans="2:18" x14ac:dyDescent="0.25">
      <c r="B260">
        <f t="shared" si="227"/>
        <v>256</v>
      </c>
    </row>
    <row r="261" spans="2:18" x14ac:dyDescent="0.25">
      <c r="B261">
        <f t="shared" si="227"/>
        <v>257</v>
      </c>
    </row>
    <row r="262" spans="2:18" x14ac:dyDescent="0.25">
      <c r="B262">
        <f t="shared" si="227"/>
        <v>258</v>
      </c>
    </row>
    <row r="263" spans="2:18" x14ac:dyDescent="0.25">
      <c r="B263">
        <f t="shared" ref="B263:B326" si="230">B262+1</f>
        <v>259</v>
      </c>
    </row>
    <row r="264" spans="2:18" x14ac:dyDescent="0.25">
      <c r="B264">
        <f t="shared" si="230"/>
        <v>260</v>
      </c>
    </row>
    <row r="265" spans="2:18" x14ac:dyDescent="0.25">
      <c r="B265">
        <f t="shared" si="230"/>
        <v>261</v>
      </c>
    </row>
    <row r="266" spans="2:18" x14ac:dyDescent="0.25">
      <c r="B266">
        <f t="shared" si="230"/>
        <v>262</v>
      </c>
    </row>
    <row r="267" spans="2:18" x14ac:dyDescent="0.25">
      <c r="B267">
        <f t="shared" si="230"/>
        <v>263</v>
      </c>
    </row>
    <row r="268" spans="2:18" x14ac:dyDescent="0.25">
      <c r="B268">
        <f t="shared" si="230"/>
        <v>264</v>
      </c>
    </row>
    <row r="269" spans="2:18" x14ac:dyDescent="0.25">
      <c r="B269">
        <f t="shared" si="230"/>
        <v>265</v>
      </c>
    </row>
    <row r="270" spans="2:18" x14ac:dyDescent="0.25">
      <c r="B270">
        <f t="shared" si="230"/>
        <v>266</v>
      </c>
    </row>
    <row r="271" spans="2:18" x14ac:dyDescent="0.25">
      <c r="B271">
        <f t="shared" si="230"/>
        <v>267</v>
      </c>
    </row>
    <row r="272" spans="2:18" x14ac:dyDescent="0.25">
      <c r="B272">
        <f t="shared" si="230"/>
        <v>268</v>
      </c>
    </row>
    <row r="273" spans="2:2" x14ac:dyDescent="0.25">
      <c r="B273">
        <f t="shared" si="230"/>
        <v>269</v>
      </c>
    </row>
    <row r="274" spans="2:2" x14ac:dyDescent="0.25">
      <c r="B274">
        <f t="shared" si="230"/>
        <v>270</v>
      </c>
    </row>
    <row r="275" spans="2:2" x14ac:dyDescent="0.25">
      <c r="B275">
        <f t="shared" si="230"/>
        <v>271</v>
      </c>
    </row>
    <row r="276" spans="2:2" x14ac:dyDescent="0.25">
      <c r="B276">
        <f t="shared" si="230"/>
        <v>272</v>
      </c>
    </row>
    <row r="277" spans="2:2" x14ac:dyDescent="0.25">
      <c r="B277">
        <f t="shared" si="230"/>
        <v>273</v>
      </c>
    </row>
    <row r="278" spans="2:2" x14ac:dyDescent="0.25">
      <c r="B278">
        <f t="shared" si="230"/>
        <v>274</v>
      </c>
    </row>
    <row r="279" spans="2:2" x14ac:dyDescent="0.25">
      <c r="B279">
        <f t="shared" si="230"/>
        <v>275</v>
      </c>
    </row>
    <row r="280" spans="2:2" x14ac:dyDescent="0.25">
      <c r="B280">
        <f t="shared" si="230"/>
        <v>276</v>
      </c>
    </row>
    <row r="281" spans="2:2" x14ac:dyDescent="0.25">
      <c r="B281">
        <f t="shared" si="230"/>
        <v>277</v>
      </c>
    </row>
    <row r="282" spans="2:2" x14ac:dyDescent="0.25">
      <c r="B282">
        <f t="shared" si="230"/>
        <v>278</v>
      </c>
    </row>
    <row r="283" spans="2:2" x14ac:dyDescent="0.25">
      <c r="B283">
        <f t="shared" si="230"/>
        <v>279</v>
      </c>
    </row>
    <row r="284" spans="2:2" x14ac:dyDescent="0.25">
      <c r="B284">
        <f t="shared" si="230"/>
        <v>280</v>
      </c>
    </row>
    <row r="285" spans="2:2" x14ac:dyDescent="0.25">
      <c r="B285">
        <f t="shared" si="230"/>
        <v>281</v>
      </c>
    </row>
    <row r="286" spans="2:2" x14ac:dyDescent="0.25">
      <c r="B286">
        <f t="shared" si="230"/>
        <v>282</v>
      </c>
    </row>
    <row r="287" spans="2:2" x14ac:dyDescent="0.25">
      <c r="B287">
        <f t="shared" si="230"/>
        <v>283</v>
      </c>
    </row>
    <row r="288" spans="2:2" x14ac:dyDescent="0.25">
      <c r="B288">
        <f t="shared" si="230"/>
        <v>284</v>
      </c>
    </row>
    <row r="289" spans="2:2" x14ac:dyDescent="0.25">
      <c r="B289">
        <f t="shared" si="230"/>
        <v>285</v>
      </c>
    </row>
    <row r="290" spans="2:2" x14ac:dyDescent="0.25">
      <c r="B290">
        <f t="shared" si="230"/>
        <v>286</v>
      </c>
    </row>
    <row r="291" spans="2:2" x14ac:dyDescent="0.25">
      <c r="B291">
        <f t="shared" si="230"/>
        <v>287</v>
      </c>
    </row>
    <row r="292" spans="2:2" x14ac:dyDescent="0.25">
      <c r="B292">
        <f t="shared" si="230"/>
        <v>288</v>
      </c>
    </row>
    <row r="293" spans="2:2" x14ac:dyDescent="0.25">
      <c r="B293">
        <f t="shared" si="230"/>
        <v>289</v>
      </c>
    </row>
    <row r="294" spans="2:2" x14ac:dyDescent="0.25">
      <c r="B294">
        <f t="shared" si="230"/>
        <v>290</v>
      </c>
    </row>
    <row r="295" spans="2:2" x14ac:dyDescent="0.25">
      <c r="B295">
        <f t="shared" si="230"/>
        <v>291</v>
      </c>
    </row>
    <row r="296" spans="2:2" x14ac:dyDescent="0.25">
      <c r="B296">
        <f t="shared" si="230"/>
        <v>292</v>
      </c>
    </row>
    <row r="297" spans="2:2" x14ac:dyDescent="0.25">
      <c r="B297">
        <f t="shared" si="230"/>
        <v>293</v>
      </c>
    </row>
    <row r="298" spans="2:2" x14ac:dyDescent="0.25">
      <c r="B298">
        <f t="shared" si="230"/>
        <v>294</v>
      </c>
    </row>
    <row r="299" spans="2:2" x14ac:dyDescent="0.25">
      <c r="B299">
        <f t="shared" si="230"/>
        <v>295</v>
      </c>
    </row>
    <row r="300" spans="2:2" x14ac:dyDescent="0.25">
      <c r="B300">
        <f t="shared" si="230"/>
        <v>296</v>
      </c>
    </row>
    <row r="301" spans="2:2" x14ac:dyDescent="0.25">
      <c r="B301">
        <f t="shared" si="230"/>
        <v>297</v>
      </c>
    </row>
    <row r="302" spans="2:2" x14ac:dyDescent="0.25">
      <c r="B302">
        <f t="shared" si="230"/>
        <v>298</v>
      </c>
    </row>
    <row r="303" spans="2:2" x14ac:dyDescent="0.25">
      <c r="B303">
        <f t="shared" si="230"/>
        <v>299</v>
      </c>
    </row>
    <row r="304" spans="2:2" x14ac:dyDescent="0.25">
      <c r="B304">
        <f t="shared" si="230"/>
        <v>300</v>
      </c>
    </row>
    <row r="305" spans="2:2" x14ac:dyDescent="0.25">
      <c r="B305">
        <f t="shared" si="230"/>
        <v>301</v>
      </c>
    </row>
    <row r="306" spans="2:2" x14ac:dyDescent="0.25">
      <c r="B306">
        <f t="shared" si="230"/>
        <v>302</v>
      </c>
    </row>
    <row r="307" spans="2:2" x14ac:dyDescent="0.25">
      <c r="B307">
        <f t="shared" si="230"/>
        <v>303</v>
      </c>
    </row>
    <row r="308" spans="2:2" x14ac:dyDescent="0.25">
      <c r="B308">
        <f t="shared" si="230"/>
        <v>304</v>
      </c>
    </row>
    <row r="309" spans="2:2" x14ac:dyDescent="0.25">
      <c r="B309">
        <f t="shared" si="230"/>
        <v>305</v>
      </c>
    </row>
    <row r="310" spans="2:2" x14ac:dyDescent="0.25">
      <c r="B310">
        <f t="shared" si="230"/>
        <v>306</v>
      </c>
    </row>
    <row r="311" spans="2:2" x14ac:dyDescent="0.25">
      <c r="B311">
        <f t="shared" si="230"/>
        <v>307</v>
      </c>
    </row>
    <row r="312" spans="2:2" x14ac:dyDescent="0.25">
      <c r="B312">
        <f t="shared" si="230"/>
        <v>308</v>
      </c>
    </row>
    <row r="313" spans="2:2" x14ac:dyDescent="0.25">
      <c r="B313">
        <f t="shared" si="230"/>
        <v>309</v>
      </c>
    </row>
    <row r="314" spans="2:2" x14ac:dyDescent="0.25">
      <c r="B314">
        <f t="shared" si="230"/>
        <v>310</v>
      </c>
    </row>
    <row r="315" spans="2:2" x14ac:dyDescent="0.25">
      <c r="B315">
        <f t="shared" si="230"/>
        <v>311</v>
      </c>
    </row>
    <row r="316" spans="2:2" x14ac:dyDescent="0.25">
      <c r="B316">
        <f t="shared" si="230"/>
        <v>312</v>
      </c>
    </row>
    <row r="317" spans="2:2" x14ac:dyDescent="0.25">
      <c r="B317">
        <f t="shared" si="230"/>
        <v>313</v>
      </c>
    </row>
    <row r="318" spans="2:2" x14ac:dyDescent="0.25">
      <c r="B318">
        <f t="shared" si="230"/>
        <v>314</v>
      </c>
    </row>
    <row r="319" spans="2:2" x14ac:dyDescent="0.25">
      <c r="B319">
        <f t="shared" si="230"/>
        <v>315</v>
      </c>
    </row>
    <row r="320" spans="2:2" x14ac:dyDescent="0.25">
      <c r="B320">
        <f t="shared" si="230"/>
        <v>316</v>
      </c>
    </row>
    <row r="321" spans="2:2" x14ac:dyDescent="0.25">
      <c r="B321">
        <f t="shared" si="230"/>
        <v>317</v>
      </c>
    </row>
    <row r="322" spans="2:2" x14ac:dyDescent="0.25">
      <c r="B322">
        <f t="shared" si="230"/>
        <v>318</v>
      </c>
    </row>
    <row r="323" spans="2:2" x14ac:dyDescent="0.25">
      <c r="B323">
        <f t="shared" si="230"/>
        <v>319</v>
      </c>
    </row>
    <row r="324" spans="2:2" x14ac:dyDescent="0.25">
      <c r="B324">
        <f t="shared" si="230"/>
        <v>320</v>
      </c>
    </row>
    <row r="325" spans="2:2" x14ac:dyDescent="0.25">
      <c r="B325">
        <f t="shared" si="230"/>
        <v>321</v>
      </c>
    </row>
    <row r="326" spans="2:2" x14ac:dyDescent="0.25">
      <c r="B326">
        <f t="shared" si="230"/>
        <v>322</v>
      </c>
    </row>
    <row r="327" spans="2:2" x14ac:dyDescent="0.25">
      <c r="B327">
        <f t="shared" ref="B327:B390" si="231">B326+1</f>
        <v>323</v>
      </c>
    </row>
    <row r="328" spans="2:2" x14ac:dyDescent="0.25">
      <c r="B328">
        <f t="shared" si="231"/>
        <v>324</v>
      </c>
    </row>
    <row r="329" spans="2:2" x14ac:dyDescent="0.25">
      <c r="B329">
        <f t="shared" si="231"/>
        <v>325</v>
      </c>
    </row>
    <row r="330" spans="2:2" x14ac:dyDescent="0.25">
      <c r="B330">
        <f t="shared" si="231"/>
        <v>326</v>
      </c>
    </row>
    <row r="331" spans="2:2" x14ac:dyDescent="0.25">
      <c r="B331">
        <f t="shared" si="231"/>
        <v>327</v>
      </c>
    </row>
    <row r="332" spans="2:2" x14ac:dyDescent="0.25">
      <c r="B332">
        <f t="shared" si="231"/>
        <v>328</v>
      </c>
    </row>
    <row r="333" spans="2:2" x14ac:dyDescent="0.25">
      <c r="B333">
        <f t="shared" si="231"/>
        <v>329</v>
      </c>
    </row>
    <row r="334" spans="2:2" x14ac:dyDescent="0.25">
      <c r="B334">
        <f t="shared" si="231"/>
        <v>330</v>
      </c>
    </row>
    <row r="335" spans="2:2" x14ac:dyDescent="0.25">
      <c r="B335">
        <f t="shared" si="231"/>
        <v>331</v>
      </c>
    </row>
    <row r="336" spans="2:2" x14ac:dyDescent="0.25">
      <c r="B336">
        <f t="shared" si="231"/>
        <v>332</v>
      </c>
    </row>
    <row r="337" spans="2:2" x14ac:dyDescent="0.25">
      <c r="B337">
        <f t="shared" si="231"/>
        <v>333</v>
      </c>
    </row>
    <row r="338" spans="2:2" x14ac:dyDescent="0.25">
      <c r="B338">
        <f t="shared" si="231"/>
        <v>334</v>
      </c>
    </row>
    <row r="339" spans="2:2" x14ac:dyDescent="0.25">
      <c r="B339">
        <f t="shared" si="231"/>
        <v>335</v>
      </c>
    </row>
    <row r="340" spans="2:2" x14ac:dyDescent="0.25">
      <c r="B340">
        <f t="shared" si="231"/>
        <v>336</v>
      </c>
    </row>
    <row r="341" spans="2:2" x14ac:dyDescent="0.25">
      <c r="B341">
        <f t="shared" si="231"/>
        <v>337</v>
      </c>
    </row>
    <row r="342" spans="2:2" x14ac:dyDescent="0.25">
      <c r="B342">
        <f t="shared" si="231"/>
        <v>338</v>
      </c>
    </row>
    <row r="343" spans="2:2" x14ac:dyDescent="0.25">
      <c r="B343">
        <f t="shared" si="231"/>
        <v>339</v>
      </c>
    </row>
    <row r="344" spans="2:2" x14ac:dyDescent="0.25">
      <c r="B344">
        <f t="shared" si="231"/>
        <v>340</v>
      </c>
    </row>
    <row r="345" spans="2:2" x14ac:dyDescent="0.25">
      <c r="B345">
        <f t="shared" si="231"/>
        <v>341</v>
      </c>
    </row>
    <row r="346" spans="2:2" x14ac:dyDescent="0.25">
      <c r="B346">
        <f t="shared" si="231"/>
        <v>342</v>
      </c>
    </row>
    <row r="347" spans="2:2" x14ac:dyDescent="0.25">
      <c r="B347">
        <f t="shared" si="231"/>
        <v>343</v>
      </c>
    </row>
    <row r="348" spans="2:2" x14ac:dyDescent="0.25">
      <c r="B348">
        <f t="shared" si="231"/>
        <v>344</v>
      </c>
    </row>
    <row r="349" spans="2:2" x14ac:dyDescent="0.25">
      <c r="B349">
        <f t="shared" si="231"/>
        <v>345</v>
      </c>
    </row>
    <row r="350" spans="2:2" x14ac:dyDescent="0.25">
      <c r="B350">
        <f t="shared" si="231"/>
        <v>346</v>
      </c>
    </row>
    <row r="351" spans="2:2" x14ac:dyDescent="0.25">
      <c r="B351">
        <f t="shared" si="231"/>
        <v>347</v>
      </c>
    </row>
    <row r="352" spans="2:2" x14ac:dyDescent="0.25">
      <c r="B352">
        <f t="shared" si="231"/>
        <v>348</v>
      </c>
    </row>
    <row r="353" spans="2:2" x14ac:dyDescent="0.25">
      <c r="B353">
        <f t="shared" si="231"/>
        <v>349</v>
      </c>
    </row>
    <row r="354" spans="2:2" x14ac:dyDescent="0.25">
      <c r="B354">
        <f t="shared" si="231"/>
        <v>350</v>
      </c>
    </row>
    <row r="355" spans="2:2" x14ac:dyDescent="0.25">
      <c r="B355">
        <f t="shared" si="231"/>
        <v>351</v>
      </c>
    </row>
    <row r="356" spans="2:2" x14ac:dyDescent="0.25">
      <c r="B356">
        <f t="shared" si="231"/>
        <v>352</v>
      </c>
    </row>
    <row r="357" spans="2:2" x14ac:dyDescent="0.25">
      <c r="B357">
        <f t="shared" si="231"/>
        <v>353</v>
      </c>
    </row>
    <row r="358" spans="2:2" x14ac:dyDescent="0.25">
      <c r="B358">
        <f t="shared" si="231"/>
        <v>354</v>
      </c>
    </row>
    <row r="359" spans="2:2" x14ac:dyDescent="0.25">
      <c r="B359">
        <f t="shared" si="231"/>
        <v>355</v>
      </c>
    </row>
    <row r="360" spans="2:2" x14ac:dyDescent="0.25">
      <c r="B360">
        <f t="shared" si="231"/>
        <v>356</v>
      </c>
    </row>
    <row r="361" spans="2:2" x14ac:dyDescent="0.25">
      <c r="B361">
        <f t="shared" si="231"/>
        <v>357</v>
      </c>
    </row>
    <row r="362" spans="2:2" x14ac:dyDescent="0.25">
      <c r="B362">
        <f t="shared" si="231"/>
        <v>358</v>
      </c>
    </row>
    <row r="363" spans="2:2" x14ac:dyDescent="0.25">
      <c r="B363">
        <f t="shared" si="231"/>
        <v>359</v>
      </c>
    </row>
    <row r="364" spans="2:2" x14ac:dyDescent="0.25">
      <c r="B364">
        <f t="shared" si="231"/>
        <v>360</v>
      </c>
    </row>
    <row r="365" spans="2:2" x14ac:dyDescent="0.25">
      <c r="B365">
        <f t="shared" si="231"/>
        <v>361</v>
      </c>
    </row>
    <row r="366" spans="2:2" x14ac:dyDescent="0.25">
      <c r="B366">
        <f t="shared" si="231"/>
        <v>362</v>
      </c>
    </row>
    <row r="367" spans="2:2" x14ac:dyDescent="0.25">
      <c r="B367">
        <f t="shared" si="231"/>
        <v>363</v>
      </c>
    </row>
    <row r="368" spans="2:2" x14ac:dyDescent="0.25">
      <c r="B368">
        <f t="shared" si="231"/>
        <v>364</v>
      </c>
    </row>
    <row r="369" spans="2:2" x14ac:dyDescent="0.25">
      <c r="B369">
        <f t="shared" si="231"/>
        <v>365</v>
      </c>
    </row>
    <row r="370" spans="2:2" x14ac:dyDescent="0.25">
      <c r="B370">
        <f t="shared" si="231"/>
        <v>366</v>
      </c>
    </row>
    <row r="371" spans="2:2" x14ac:dyDescent="0.25">
      <c r="B371">
        <f t="shared" si="231"/>
        <v>367</v>
      </c>
    </row>
    <row r="372" spans="2:2" x14ac:dyDescent="0.25">
      <c r="B372">
        <f t="shared" si="231"/>
        <v>368</v>
      </c>
    </row>
    <row r="373" spans="2:2" x14ac:dyDescent="0.25">
      <c r="B373">
        <f t="shared" si="231"/>
        <v>369</v>
      </c>
    </row>
    <row r="374" spans="2:2" x14ac:dyDescent="0.25">
      <c r="B374">
        <f t="shared" si="231"/>
        <v>370</v>
      </c>
    </row>
    <row r="375" spans="2:2" x14ac:dyDescent="0.25">
      <c r="B375">
        <f t="shared" si="231"/>
        <v>371</v>
      </c>
    </row>
    <row r="376" spans="2:2" x14ac:dyDescent="0.25">
      <c r="B376">
        <f t="shared" si="231"/>
        <v>372</v>
      </c>
    </row>
    <row r="377" spans="2:2" x14ac:dyDescent="0.25">
      <c r="B377">
        <f t="shared" si="231"/>
        <v>373</v>
      </c>
    </row>
    <row r="378" spans="2:2" x14ac:dyDescent="0.25">
      <c r="B378">
        <f t="shared" si="231"/>
        <v>374</v>
      </c>
    </row>
    <row r="379" spans="2:2" x14ac:dyDescent="0.25">
      <c r="B379">
        <f t="shared" si="231"/>
        <v>375</v>
      </c>
    </row>
    <row r="380" spans="2:2" x14ac:dyDescent="0.25">
      <c r="B380">
        <f t="shared" si="231"/>
        <v>376</v>
      </c>
    </row>
    <row r="381" spans="2:2" x14ac:dyDescent="0.25">
      <c r="B381">
        <f t="shared" si="231"/>
        <v>377</v>
      </c>
    </row>
    <row r="382" spans="2:2" x14ac:dyDescent="0.25">
      <c r="B382">
        <f t="shared" si="231"/>
        <v>378</v>
      </c>
    </row>
    <row r="383" spans="2:2" x14ac:dyDescent="0.25">
      <c r="B383">
        <f t="shared" si="231"/>
        <v>379</v>
      </c>
    </row>
    <row r="384" spans="2:2" x14ac:dyDescent="0.25">
      <c r="B384">
        <f t="shared" si="231"/>
        <v>380</v>
      </c>
    </row>
    <row r="385" spans="2:2" x14ac:dyDescent="0.25">
      <c r="B385">
        <f t="shared" si="231"/>
        <v>381</v>
      </c>
    </row>
    <row r="386" spans="2:2" x14ac:dyDescent="0.25">
      <c r="B386">
        <f t="shared" si="231"/>
        <v>382</v>
      </c>
    </row>
    <row r="387" spans="2:2" x14ac:dyDescent="0.25">
      <c r="B387">
        <f t="shared" si="231"/>
        <v>383</v>
      </c>
    </row>
    <row r="388" spans="2:2" x14ac:dyDescent="0.25">
      <c r="B388">
        <f t="shared" si="231"/>
        <v>384</v>
      </c>
    </row>
    <row r="389" spans="2:2" x14ac:dyDescent="0.25">
      <c r="B389">
        <f t="shared" si="231"/>
        <v>385</v>
      </c>
    </row>
    <row r="390" spans="2:2" x14ac:dyDescent="0.25">
      <c r="B390">
        <f t="shared" si="231"/>
        <v>386</v>
      </c>
    </row>
    <row r="391" spans="2:2" x14ac:dyDescent="0.25">
      <c r="B391">
        <f t="shared" ref="B391:B454" si="232">B390+1</f>
        <v>387</v>
      </c>
    </row>
    <row r="392" spans="2:2" x14ac:dyDescent="0.25">
      <c r="B392">
        <f t="shared" si="232"/>
        <v>388</v>
      </c>
    </row>
    <row r="393" spans="2:2" x14ac:dyDescent="0.25">
      <c r="B393">
        <f t="shared" si="232"/>
        <v>389</v>
      </c>
    </row>
    <row r="394" spans="2:2" x14ac:dyDescent="0.25">
      <c r="B394">
        <f t="shared" si="232"/>
        <v>390</v>
      </c>
    </row>
    <row r="395" spans="2:2" x14ac:dyDescent="0.25">
      <c r="B395">
        <f t="shared" si="232"/>
        <v>391</v>
      </c>
    </row>
    <row r="396" spans="2:2" x14ac:dyDescent="0.25">
      <c r="B396">
        <f t="shared" si="232"/>
        <v>392</v>
      </c>
    </row>
    <row r="397" spans="2:2" x14ac:dyDescent="0.25">
      <c r="B397">
        <f t="shared" si="232"/>
        <v>393</v>
      </c>
    </row>
    <row r="398" spans="2:2" x14ac:dyDescent="0.25">
      <c r="B398">
        <f t="shared" si="232"/>
        <v>394</v>
      </c>
    </row>
    <row r="399" spans="2:2" x14ac:dyDescent="0.25">
      <c r="B399">
        <f t="shared" si="232"/>
        <v>395</v>
      </c>
    </row>
    <row r="400" spans="2:2" x14ac:dyDescent="0.25">
      <c r="B400">
        <f t="shared" si="232"/>
        <v>396</v>
      </c>
    </row>
    <row r="401" spans="2:2" x14ac:dyDescent="0.25">
      <c r="B401">
        <f t="shared" si="232"/>
        <v>397</v>
      </c>
    </row>
    <row r="402" spans="2:2" x14ac:dyDescent="0.25">
      <c r="B402">
        <f t="shared" si="232"/>
        <v>398</v>
      </c>
    </row>
    <row r="403" spans="2:2" x14ac:dyDescent="0.25">
      <c r="B403">
        <f t="shared" si="232"/>
        <v>399</v>
      </c>
    </row>
    <row r="404" spans="2:2" x14ac:dyDescent="0.25">
      <c r="B404">
        <f t="shared" si="232"/>
        <v>400</v>
      </c>
    </row>
    <row r="405" spans="2:2" x14ac:dyDescent="0.25">
      <c r="B405">
        <f t="shared" si="232"/>
        <v>401</v>
      </c>
    </row>
    <row r="406" spans="2:2" x14ac:dyDescent="0.25">
      <c r="B406">
        <f t="shared" si="232"/>
        <v>402</v>
      </c>
    </row>
    <row r="407" spans="2:2" x14ac:dyDescent="0.25">
      <c r="B407">
        <f t="shared" si="232"/>
        <v>403</v>
      </c>
    </row>
    <row r="408" spans="2:2" x14ac:dyDescent="0.25">
      <c r="B408">
        <f t="shared" si="232"/>
        <v>404</v>
      </c>
    </row>
    <row r="409" spans="2:2" x14ac:dyDescent="0.25">
      <c r="B409">
        <f t="shared" si="232"/>
        <v>405</v>
      </c>
    </row>
    <row r="410" spans="2:2" x14ac:dyDescent="0.25">
      <c r="B410">
        <f t="shared" si="232"/>
        <v>406</v>
      </c>
    </row>
    <row r="411" spans="2:2" x14ac:dyDescent="0.25">
      <c r="B411">
        <f t="shared" si="232"/>
        <v>407</v>
      </c>
    </row>
    <row r="412" spans="2:2" x14ac:dyDescent="0.25">
      <c r="B412">
        <f t="shared" si="232"/>
        <v>408</v>
      </c>
    </row>
    <row r="413" spans="2:2" x14ac:dyDescent="0.25">
      <c r="B413">
        <f t="shared" si="232"/>
        <v>409</v>
      </c>
    </row>
    <row r="414" spans="2:2" x14ac:dyDescent="0.25">
      <c r="B414">
        <f t="shared" si="232"/>
        <v>410</v>
      </c>
    </row>
    <row r="415" spans="2:2" x14ac:dyDescent="0.25">
      <c r="B415">
        <f t="shared" si="232"/>
        <v>411</v>
      </c>
    </row>
    <row r="416" spans="2:2" x14ac:dyDescent="0.25">
      <c r="B416">
        <f t="shared" si="232"/>
        <v>412</v>
      </c>
    </row>
    <row r="417" spans="2:2" x14ac:dyDescent="0.25">
      <c r="B417">
        <f t="shared" si="232"/>
        <v>413</v>
      </c>
    </row>
    <row r="418" spans="2:2" x14ac:dyDescent="0.25">
      <c r="B418">
        <f t="shared" si="232"/>
        <v>414</v>
      </c>
    </row>
    <row r="419" spans="2:2" x14ac:dyDescent="0.25">
      <c r="B419">
        <f t="shared" si="232"/>
        <v>415</v>
      </c>
    </row>
    <row r="420" spans="2:2" x14ac:dyDescent="0.25">
      <c r="B420">
        <f t="shared" si="232"/>
        <v>416</v>
      </c>
    </row>
    <row r="421" spans="2:2" x14ac:dyDescent="0.25">
      <c r="B421">
        <f t="shared" si="232"/>
        <v>417</v>
      </c>
    </row>
    <row r="422" spans="2:2" x14ac:dyDescent="0.25">
      <c r="B422">
        <f t="shared" si="232"/>
        <v>418</v>
      </c>
    </row>
    <row r="423" spans="2:2" x14ac:dyDescent="0.25">
      <c r="B423">
        <f t="shared" si="232"/>
        <v>419</v>
      </c>
    </row>
    <row r="424" spans="2:2" x14ac:dyDescent="0.25">
      <c r="B424">
        <f t="shared" si="232"/>
        <v>420</v>
      </c>
    </row>
    <row r="425" spans="2:2" x14ac:dyDescent="0.25">
      <c r="B425">
        <f t="shared" si="232"/>
        <v>421</v>
      </c>
    </row>
    <row r="426" spans="2:2" x14ac:dyDescent="0.25">
      <c r="B426">
        <f t="shared" si="232"/>
        <v>422</v>
      </c>
    </row>
    <row r="427" spans="2:2" x14ac:dyDescent="0.25">
      <c r="B427">
        <f t="shared" si="232"/>
        <v>423</v>
      </c>
    </row>
    <row r="428" spans="2:2" x14ac:dyDescent="0.25">
      <c r="B428">
        <f t="shared" si="232"/>
        <v>424</v>
      </c>
    </row>
    <row r="429" spans="2:2" x14ac:dyDescent="0.25">
      <c r="B429">
        <f t="shared" si="232"/>
        <v>425</v>
      </c>
    </row>
    <row r="430" spans="2:2" x14ac:dyDescent="0.25">
      <c r="B430">
        <f t="shared" si="232"/>
        <v>426</v>
      </c>
    </row>
    <row r="431" spans="2:2" x14ac:dyDescent="0.25">
      <c r="B431">
        <f t="shared" si="232"/>
        <v>427</v>
      </c>
    </row>
    <row r="432" spans="2:2" x14ac:dyDescent="0.25">
      <c r="B432">
        <f t="shared" si="232"/>
        <v>428</v>
      </c>
    </row>
    <row r="433" spans="2:2" x14ac:dyDescent="0.25">
      <c r="B433">
        <f t="shared" si="232"/>
        <v>429</v>
      </c>
    </row>
    <row r="434" spans="2:2" x14ac:dyDescent="0.25">
      <c r="B434">
        <f t="shared" si="232"/>
        <v>430</v>
      </c>
    </row>
    <row r="435" spans="2:2" x14ac:dyDescent="0.25">
      <c r="B435">
        <f t="shared" si="232"/>
        <v>431</v>
      </c>
    </row>
    <row r="436" spans="2:2" x14ac:dyDescent="0.25">
      <c r="B436">
        <f t="shared" si="232"/>
        <v>432</v>
      </c>
    </row>
    <row r="437" spans="2:2" x14ac:dyDescent="0.25">
      <c r="B437">
        <f t="shared" si="232"/>
        <v>433</v>
      </c>
    </row>
    <row r="438" spans="2:2" x14ac:dyDescent="0.25">
      <c r="B438">
        <f t="shared" si="232"/>
        <v>434</v>
      </c>
    </row>
    <row r="439" spans="2:2" x14ac:dyDescent="0.25">
      <c r="B439">
        <f t="shared" si="232"/>
        <v>435</v>
      </c>
    </row>
    <row r="440" spans="2:2" x14ac:dyDescent="0.25">
      <c r="B440">
        <f t="shared" si="232"/>
        <v>436</v>
      </c>
    </row>
    <row r="441" spans="2:2" x14ac:dyDescent="0.25">
      <c r="B441">
        <f t="shared" si="232"/>
        <v>437</v>
      </c>
    </row>
    <row r="442" spans="2:2" x14ac:dyDescent="0.25">
      <c r="B442">
        <f t="shared" si="232"/>
        <v>438</v>
      </c>
    </row>
    <row r="443" spans="2:2" x14ac:dyDescent="0.25">
      <c r="B443">
        <f t="shared" si="232"/>
        <v>439</v>
      </c>
    </row>
    <row r="444" spans="2:2" x14ac:dyDescent="0.25">
      <c r="B444">
        <f t="shared" si="232"/>
        <v>440</v>
      </c>
    </row>
    <row r="445" spans="2:2" x14ac:dyDescent="0.25">
      <c r="B445">
        <f t="shared" si="232"/>
        <v>441</v>
      </c>
    </row>
    <row r="446" spans="2:2" x14ac:dyDescent="0.25">
      <c r="B446">
        <f t="shared" si="232"/>
        <v>442</v>
      </c>
    </row>
    <row r="447" spans="2:2" x14ac:dyDescent="0.25">
      <c r="B447">
        <f t="shared" si="232"/>
        <v>443</v>
      </c>
    </row>
    <row r="448" spans="2:2" x14ac:dyDescent="0.25">
      <c r="B448">
        <f t="shared" si="232"/>
        <v>444</v>
      </c>
    </row>
    <row r="449" spans="2:2" x14ac:dyDescent="0.25">
      <c r="B449">
        <f t="shared" si="232"/>
        <v>445</v>
      </c>
    </row>
    <row r="450" spans="2:2" x14ac:dyDescent="0.25">
      <c r="B450">
        <f t="shared" si="232"/>
        <v>446</v>
      </c>
    </row>
    <row r="451" spans="2:2" x14ac:dyDescent="0.25">
      <c r="B451">
        <f t="shared" si="232"/>
        <v>447</v>
      </c>
    </row>
    <row r="452" spans="2:2" x14ac:dyDescent="0.25">
      <c r="B452">
        <f t="shared" si="232"/>
        <v>448</v>
      </c>
    </row>
    <row r="453" spans="2:2" x14ac:dyDescent="0.25">
      <c r="B453">
        <f t="shared" si="232"/>
        <v>449</v>
      </c>
    </row>
    <row r="454" spans="2:2" x14ac:dyDescent="0.25">
      <c r="B454">
        <f t="shared" si="232"/>
        <v>450</v>
      </c>
    </row>
    <row r="455" spans="2:2" x14ac:dyDescent="0.25">
      <c r="B455">
        <f t="shared" ref="B455:B500" si="233">B454+1</f>
        <v>451</v>
      </c>
    </row>
    <row r="456" spans="2:2" x14ac:dyDescent="0.25">
      <c r="B456">
        <f t="shared" si="233"/>
        <v>452</v>
      </c>
    </row>
    <row r="457" spans="2:2" x14ac:dyDescent="0.25">
      <c r="B457">
        <f t="shared" si="233"/>
        <v>453</v>
      </c>
    </row>
    <row r="458" spans="2:2" x14ac:dyDescent="0.25">
      <c r="B458">
        <f t="shared" si="233"/>
        <v>454</v>
      </c>
    </row>
    <row r="459" spans="2:2" x14ac:dyDescent="0.25">
      <c r="B459">
        <f t="shared" si="233"/>
        <v>455</v>
      </c>
    </row>
    <row r="460" spans="2:2" x14ac:dyDescent="0.25">
      <c r="B460">
        <f t="shared" si="233"/>
        <v>456</v>
      </c>
    </row>
    <row r="461" spans="2:2" x14ac:dyDescent="0.25">
      <c r="B461">
        <f t="shared" si="233"/>
        <v>457</v>
      </c>
    </row>
    <row r="462" spans="2:2" x14ac:dyDescent="0.25">
      <c r="B462">
        <f t="shared" si="233"/>
        <v>458</v>
      </c>
    </row>
    <row r="463" spans="2:2" x14ac:dyDescent="0.25">
      <c r="B463">
        <f t="shared" si="233"/>
        <v>459</v>
      </c>
    </row>
    <row r="464" spans="2:2" x14ac:dyDescent="0.25">
      <c r="B464">
        <f t="shared" si="233"/>
        <v>460</v>
      </c>
    </row>
    <row r="465" spans="2:2" x14ac:dyDescent="0.25">
      <c r="B465">
        <f t="shared" si="233"/>
        <v>461</v>
      </c>
    </row>
    <row r="466" spans="2:2" x14ac:dyDescent="0.25">
      <c r="B466">
        <f t="shared" si="233"/>
        <v>462</v>
      </c>
    </row>
    <row r="467" spans="2:2" x14ac:dyDescent="0.25">
      <c r="B467">
        <f t="shared" si="233"/>
        <v>463</v>
      </c>
    </row>
    <row r="468" spans="2:2" x14ac:dyDescent="0.25">
      <c r="B468">
        <f t="shared" si="233"/>
        <v>464</v>
      </c>
    </row>
    <row r="469" spans="2:2" x14ac:dyDescent="0.25">
      <c r="B469">
        <f t="shared" si="233"/>
        <v>465</v>
      </c>
    </row>
    <row r="470" spans="2:2" x14ac:dyDescent="0.25">
      <c r="B470">
        <f t="shared" si="233"/>
        <v>466</v>
      </c>
    </row>
    <row r="471" spans="2:2" x14ac:dyDescent="0.25">
      <c r="B471">
        <f t="shared" si="233"/>
        <v>467</v>
      </c>
    </row>
    <row r="472" spans="2:2" x14ac:dyDescent="0.25">
      <c r="B472">
        <f t="shared" si="233"/>
        <v>468</v>
      </c>
    </row>
    <row r="473" spans="2:2" x14ac:dyDescent="0.25">
      <c r="B473">
        <f t="shared" si="233"/>
        <v>469</v>
      </c>
    </row>
    <row r="474" spans="2:2" x14ac:dyDescent="0.25">
      <c r="B474">
        <f t="shared" si="233"/>
        <v>470</v>
      </c>
    </row>
    <row r="475" spans="2:2" x14ac:dyDescent="0.25">
      <c r="B475">
        <f t="shared" si="233"/>
        <v>471</v>
      </c>
    </row>
    <row r="476" spans="2:2" x14ac:dyDescent="0.25">
      <c r="B476">
        <f t="shared" si="233"/>
        <v>472</v>
      </c>
    </row>
    <row r="477" spans="2:2" x14ac:dyDescent="0.25">
      <c r="B477">
        <f t="shared" si="233"/>
        <v>473</v>
      </c>
    </row>
    <row r="478" spans="2:2" x14ac:dyDescent="0.25">
      <c r="B478">
        <f t="shared" si="233"/>
        <v>474</v>
      </c>
    </row>
    <row r="479" spans="2:2" x14ac:dyDescent="0.25">
      <c r="B479">
        <f t="shared" si="233"/>
        <v>475</v>
      </c>
    </row>
    <row r="480" spans="2:2" x14ac:dyDescent="0.25">
      <c r="B480">
        <f t="shared" si="233"/>
        <v>476</v>
      </c>
    </row>
    <row r="481" spans="2:2" x14ac:dyDescent="0.25">
      <c r="B481">
        <f t="shared" si="233"/>
        <v>477</v>
      </c>
    </row>
    <row r="482" spans="2:2" x14ac:dyDescent="0.25">
      <c r="B482">
        <f t="shared" si="233"/>
        <v>478</v>
      </c>
    </row>
    <row r="483" spans="2:2" x14ac:dyDescent="0.25">
      <c r="B483">
        <f t="shared" si="233"/>
        <v>479</v>
      </c>
    </row>
    <row r="484" spans="2:2" x14ac:dyDescent="0.25">
      <c r="B484">
        <f t="shared" si="233"/>
        <v>480</v>
      </c>
    </row>
    <row r="485" spans="2:2" x14ac:dyDescent="0.25">
      <c r="B485">
        <f t="shared" si="233"/>
        <v>481</v>
      </c>
    </row>
    <row r="486" spans="2:2" x14ac:dyDescent="0.25">
      <c r="B486">
        <f t="shared" si="233"/>
        <v>482</v>
      </c>
    </row>
    <row r="487" spans="2:2" x14ac:dyDescent="0.25">
      <c r="B487">
        <f t="shared" si="233"/>
        <v>483</v>
      </c>
    </row>
    <row r="488" spans="2:2" x14ac:dyDescent="0.25">
      <c r="B488">
        <f t="shared" si="233"/>
        <v>484</v>
      </c>
    </row>
    <row r="489" spans="2:2" x14ac:dyDescent="0.25">
      <c r="B489">
        <f t="shared" si="233"/>
        <v>485</v>
      </c>
    </row>
    <row r="490" spans="2:2" x14ac:dyDescent="0.25">
      <c r="B490">
        <f t="shared" si="233"/>
        <v>486</v>
      </c>
    </row>
    <row r="491" spans="2:2" x14ac:dyDescent="0.25">
      <c r="B491">
        <f t="shared" si="233"/>
        <v>487</v>
      </c>
    </row>
    <row r="492" spans="2:2" x14ac:dyDescent="0.25">
      <c r="B492">
        <f t="shared" si="233"/>
        <v>488</v>
      </c>
    </row>
    <row r="493" spans="2:2" x14ac:dyDescent="0.25">
      <c r="B493">
        <f t="shared" si="233"/>
        <v>489</v>
      </c>
    </row>
    <row r="494" spans="2:2" x14ac:dyDescent="0.25">
      <c r="B494">
        <f t="shared" si="233"/>
        <v>490</v>
      </c>
    </row>
    <row r="495" spans="2:2" x14ac:dyDescent="0.25">
      <c r="B495">
        <f t="shared" si="233"/>
        <v>491</v>
      </c>
    </row>
    <row r="496" spans="2:2" x14ac:dyDescent="0.25">
      <c r="B496">
        <f t="shared" si="233"/>
        <v>492</v>
      </c>
    </row>
    <row r="497" spans="2:2" x14ac:dyDescent="0.25">
      <c r="B497">
        <f t="shared" si="233"/>
        <v>493</v>
      </c>
    </row>
    <row r="498" spans="2:2" x14ac:dyDescent="0.25">
      <c r="B498">
        <f t="shared" si="233"/>
        <v>494</v>
      </c>
    </row>
    <row r="499" spans="2:2" x14ac:dyDescent="0.25">
      <c r="B499">
        <f t="shared" si="233"/>
        <v>495</v>
      </c>
    </row>
    <row r="500" spans="2:2" x14ac:dyDescent="0.25">
      <c r="B500">
        <f t="shared" si="233"/>
        <v>496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/>
  </sheetPr>
  <dimension ref="A1:P115"/>
  <sheetViews>
    <sheetView topLeftCell="A102" workbookViewId="0">
      <selection activeCell="C69" sqref="C69"/>
    </sheetView>
  </sheetViews>
  <sheetFormatPr defaultRowHeight="15" x14ac:dyDescent="0.25"/>
  <cols>
    <col min="1" max="1" width="9.140625" style="92"/>
    <col min="2" max="2" width="15" customWidth="1"/>
    <col min="3" max="13" width="9.140625" style="45"/>
  </cols>
  <sheetData>
    <row r="1" spans="1:16" x14ac:dyDescent="0.25">
      <c r="A1" s="99">
        <v>1</v>
      </c>
      <c r="B1">
        <f>A1+1</f>
        <v>2</v>
      </c>
      <c r="C1">
        <f t="shared" ref="C1:O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</row>
    <row r="2" spans="1:16" x14ac:dyDescent="0.25">
      <c r="C2" s="45">
        <v>0</v>
      </c>
      <c r="D2" s="45">
        <v>1</v>
      </c>
      <c r="E2" s="45">
        <v>2</v>
      </c>
      <c r="F2" s="45">
        <v>3</v>
      </c>
      <c r="G2" s="45">
        <v>4</v>
      </c>
      <c r="H2" s="45">
        <v>5</v>
      </c>
      <c r="I2" s="45">
        <v>6</v>
      </c>
      <c r="J2" s="45">
        <v>7</v>
      </c>
      <c r="K2" s="45">
        <v>8</v>
      </c>
      <c r="L2" s="45">
        <v>9</v>
      </c>
      <c r="M2" s="45">
        <v>10</v>
      </c>
      <c r="N2" s="45">
        <v>11</v>
      </c>
      <c r="O2" s="45">
        <v>12</v>
      </c>
      <c r="P2" s="45">
        <v>13</v>
      </c>
    </row>
    <row r="4" spans="1:16" x14ac:dyDescent="0.25">
      <c r="A4" s="92" t="s">
        <v>84</v>
      </c>
      <c r="B4" s="35" t="str">
        <f>VLOOKUP(A4,General!$B$9:$C$23,2,FALSE)</f>
        <v>Senegal</v>
      </c>
      <c r="O4" t="str">
        <f ca="1">C7&amp;" "&amp;D7&amp;" "&amp;E7&amp;" "&amp;F7&amp;" "&amp;G7&amp;" "&amp;H7&amp;" "&amp;I7&amp;" "&amp;J7&amp;" "&amp;K7&amp;" "&amp;L7&amp;" "&amp;M7&amp;" "&amp;C9&amp;" "&amp;D9&amp;" "&amp;E9&amp;" "&amp;F9&amp;" "&amp;G9&amp;" "&amp;H9&amp;" "&amp;I9&amp;" "&amp;J9&amp;" "&amp;K9&amp;" "&amp;L9&amp;" "&amp;M9&amp;" "&amp;N9&amp;" "&amp;O9&amp;" "&amp;P9</f>
        <v>242 258 290 305 322 363 418 440 463 488 515 546 576 608 641 678 713 750 789 830 873 918 1450 2407 2407</v>
      </c>
    </row>
    <row r="5" spans="1:16" ht="15.75" thickBot="1" x14ac:dyDescent="0.3">
      <c r="B5" s="34" t="s">
        <v>19</v>
      </c>
    </row>
    <row r="6" spans="1:16" ht="15.75" thickTop="1" x14ac:dyDescent="0.25">
      <c r="B6" s="31" t="s">
        <v>17</v>
      </c>
      <c r="C6" s="46">
        <v>2010</v>
      </c>
      <c r="D6" s="47">
        <f>C6+1</f>
        <v>2011</v>
      </c>
      <c r="E6" s="47">
        <f t="shared" ref="E6" si="1">D6+1</f>
        <v>2012</v>
      </c>
      <c r="F6" s="47">
        <f t="shared" ref="F6" si="2">E6+1</f>
        <v>2013</v>
      </c>
      <c r="G6" s="47">
        <f t="shared" ref="G6" si="3">F6+1</f>
        <v>2014</v>
      </c>
      <c r="H6" s="47">
        <f t="shared" ref="H6" si="4">G6+1</f>
        <v>2015</v>
      </c>
      <c r="I6" s="47">
        <f t="shared" ref="I6" si="5">H6+1</f>
        <v>2016</v>
      </c>
      <c r="J6" s="47">
        <f t="shared" ref="J6" si="6">I6+1</f>
        <v>2017</v>
      </c>
      <c r="K6" s="47">
        <f t="shared" ref="K6" si="7">J6+1</f>
        <v>2018</v>
      </c>
      <c r="L6" s="47">
        <f t="shared" ref="L6" si="8">K6+1</f>
        <v>2019</v>
      </c>
      <c r="M6" s="48">
        <f t="shared" ref="M6" si="9">L6+1</f>
        <v>2020</v>
      </c>
    </row>
    <row r="7" spans="1:16" x14ac:dyDescent="0.25">
      <c r="B7" s="32" t="s">
        <v>18</v>
      </c>
      <c r="C7" s="49">
        <f t="shared" ref="C7:M7" ca="1" si="10">ROUND(OFFSET(INDIRECT($A4&amp;"!C$5"),0,C$2)/8.76,0)</f>
        <v>242</v>
      </c>
      <c r="D7" s="50">
        <f t="shared" ca="1" si="10"/>
        <v>258</v>
      </c>
      <c r="E7" s="50">
        <f t="shared" ca="1" si="10"/>
        <v>290</v>
      </c>
      <c r="F7" s="50">
        <f t="shared" ca="1" si="10"/>
        <v>305</v>
      </c>
      <c r="G7" s="50">
        <f t="shared" ca="1" si="10"/>
        <v>322</v>
      </c>
      <c r="H7" s="50">
        <f t="shared" ca="1" si="10"/>
        <v>363</v>
      </c>
      <c r="I7" s="50">
        <f t="shared" ca="1" si="10"/>
        <v>418</v>
      </c>
      <c r="J7" s="50">
        <f t="shared" ca="1" si="10"/>
        <v>440</v>
      </c>
      <c r="K7" s="50">
        <f t="shared" ca="1" si="10"/>
        <v>463</v>
      </c>
      <c r="L7" s="50">
        <f t="shared" ca="1" si="10"/>
        <v>488</v>
      </c>
      <c r="M7" s="51">
        <f t="shared" ca="1" si="10"/>
        <v>515</v>
      </c>
    </row>
    <row r="8" spans="1:16" x14ac:dyDescent="0.25">
      <c r="B8" s="33" t="s">
        <v>17</v>
      </c>
      <c r="C8" s="46">
        <f>M6+1</f>
        <v>2021</v>
      </c>
      <c r="D8" s="47">
        <f>C8+1</f>
        <v>2022</v>
      </c>
      <c r="E8" s="47">
        <f t="shared" ref="E8" si="11">D8+1</f>
        <v>2023</v>
      </c>
      <c r="F8" s="47">
        <f t="shared" ref="F8" si="12">E8+1</f>
        <v>2024</v>
      </c>
      <c r="G8" s="47">
        <f t="shared" ref="G8" si="13">F8+1</f>
        <v>2025</v>
      </c>
      <c r="H8" s="47">
        <f t="shared" ref="H8" si="14">G8+1</f>
        <v>2026</v>
      </c>
      <c r="I8" s="47">
        <f>H8+1</f>
        <v>2027</v>
      </c>
      <c r="J8" s="47">
        <f t="shared" ref="J8" si="15">I8+1</f>
        <v>2028</v>
      </c>
      <c r="K8" s="47">
        <f t="shared" ref="K8" si="16">J8+1</f>
        <v>2029</v>
      </c>
      <c r="L8" s="47">
        <f>K8+1</f>
        <v>2030</v>
      </c>
      <c r="M8" s="48">
        <f t="shared" ref="M8" si="17">L8+1</f>
        <v>2031</v>
      </c>
      <c r="N8">
        <v>2040</v>
      </c>
      <c r="O8">
        <v>2050</v>
      </c>
      <c r="P8">
        <v>2060</v>
      </c>
    </row>
    <row r="9" spans="1:16" x14ac:dyDescent="0.25">
      <c r="B9" s="32" t="s">
        <v>18</v>
      </c>
      <c r="C9" s="49">
        <f ca="1">ROUND(OFFSET(INDIRECT($A4&amp;"!n$5"),0,C$2)/8.76,0)</f>
        <v>546</v>
      </c>
      <c r="D9" s="50">
        <f t="shared" ref="D9:P9" ca="1" si="18">ROUND(OFFSET(INDIRECT($A4&amp;"!n$5"),0,D$2)/8.76,0)</f>
        <v>576</v>
      </c>
      <c r="E9" s="50">
        <f t="shared" ca="1" si="18"/>
        <v>608</v>
      </c>
      <c r="F9" s="50">
        <f t="shared" ca="1" si="18"/>
        <v>641</v>
      </c>
      <c r="G9" s="50">
        <f t="shared" ca="1" si="18"/>
        <v>678</v>
      </c>
      <c r="H9" s="50">
        <f t="shared" ca="1" si="18"/>
        <v>713</v>
      </c>
      <c r="I9" s="50">
        <f t="shared" ca="1" si="18"/>
        <v>750</v>
      </c>
      <c r="J9" s="50">
        <f t="shared" ca="1" si="18"/>
        <v>789</v>
      </c>
      <c r="K9" s="50">
        <f t="shared" ca="1" si="18"/>
        <v>830</v>
      </c>
      <c r="L9" s="50">
        <f t="shared" ca="1" si="18"/>
        <v>873</v>
      </c>
      <c r="M9" s="51">
        <f t="shared" ca="1" si="18"/>
        <v>918</v>
      </c>
      <c r="N9" s="51">
        <f t="shared" ca="1" si="18"/>
        <v>1450</v>
      </c>
      <c r="O9" s="51">
        <f t="shared" ca="1" si="18"/>
        <v>2407</v>
      </c>
      <c r="P9" s="51">
        <f t="shared" ca="1" si="18"/>
        <v>2407</v>
      </c>
    </row>
    <row r="12" spans="1:16" x14ac:dyDescent="0.25">
      <c r="A12" s="92" t="s">
        <v>69</v>
      </c>
      <c r="B12" s="35" t="str">
        <f>VLOOKUP(A12,General!$B$9:$C$23,2,FALSE)</f>
        <v>Gambia</v>
      </c>
      <c r="O12" t="str">
        <f ca="1">C15&amp;" "&amp;D15&amp;" "&amp;E15&amp;" "&amp;F15&amp;" "&amp;G15&amp;" "&amp;H15&amp;" "&amp;I15&amp;" "&amp;J15&amp;" "&amp;K15&amp;" "&amp;L15&amp;" "&amp;M15&amp;" "&amp;C17&amp;" "&amp;D17&amp;" "&amp;E17&amp;" "&amp;F17&amp;" "&amp;G17&amp;" "&amp;H17&amp;" "&amp;I17&amp;" "&amp;J17&amp;" "&amp;K17&amp;" "&amp;L17&amp;" "&amp;M17&amp;" "&amp;N17&amp;" "&amp;O17&amp;" "&amp;P17</f>
        <v>21 23 33 40 48 57 72 75 77 80 82 85 88 92 95 99 102 106 110 114 118 123 170 244 244</v>
      </c>
    </row>
    <row r="13" spans="1:16" ht="15.75" thickBot="1" x14ac:dyDescent="0.3">
      <c r="B13" s="34" t="s">
        <v>19</v>
      </c>
    </row>
    <row r="14" spans="1:16" ht="15.75" thickTop="1" x14ac:dyDescent="0.25">
      <c r="B14" s="31" t="s">
        <v>17</v>
      </c>
      <c r="C14" s="46">
        <v>2010</v>
      </c>
      <c r="D14" s="47">
        <f>C14+1</f>
        <v>2011</v>
      </c>
      <c r="E14" s="47">
        <f t="shared" ref="E14" si="19">D14+1</f>
        <v>2012</v>
      </c>
      <c r="F14" s="47">
        <f t="shared" ref="F14" si="20">E14+1</f>
        <v>2013</v>
      </c>
      <c r="G14" s="47">
        <f t="shared" ref="G14" si="21">F14+1</f>
        <v>2014</v>
      </c>
      <c r="H14" s="47">
        <f t="shared" ref="H14" si="22">G14+1</f>
        <v>2015</v>
      </c>
      <c r="I14" s="47">
        <f t="shared" ref="I14" si="23">H14+1</f>
        <v>2016</v>
      </c>
      <c r="J14" s="47">
        <f t="shared" ref="J14" si="24">I14+1</f>
        <v>2017</v>
      </c>
      <c r="K14" s="47">
        <f t="shared" ref="K14" si="25">J14+1</f>
        <v>2018</v>
      </c>
      <c r="L14" s="47">
        <f t="shared" ref="L14" si="26">K14+1</f>
        <v>2019</v>
      </c>
      <c r="M14" s="48">
        <f t="shared" ref="M14" si="27">L14+1</f>
        <v>2020</v>
      </c>
    </row>
    <row r="15" spans="1:16" x14ac:dyDescent="0.25">
      <c r="B15" s="32" t="s">
        <v>18</v>
      </c>
      <c r="C15" s="49">
        <f t="shared" ref="C15:M15" ca="1" si="28">ROUND(OFFSET(INDIRECT($A12&amp;"!C$5"),0,C$2)/8.76,0)</f>
        <v>21</v>
      </c>
      <c r="D15" s="50">
        <f t="shared" ca="1" si="28"/>
        <v>23</v>
      </c>
      <c r="E15" s="50">
        <f t="shared" ca="1" si="28"/>
        <v>33</v>
      </c>
      <c r="F15" s="50">
        <f t="shared" ca="1" si="28"/>
        <v>40</v>
      </c>
      <c r="G15" s="50">
        <f t="shared" ca="1" si="28"/>
        <v>48</v>
      </c>
      <c r="H15" s="50">
        <f t="shared" ca="1" si="28"/>
        <v>57</v>
      </c>
      <c r="I15" s="50">
        <f t="shared" ca="1" si="28"/>
        <v>72</v>
      </c>
      <c r="J15" s="50">
        <f t="shared" ca="1" si="28"/>
        <v>75</v>
      </c>
      <c r="K15" s="50">
        <f t="shared" ca="1" si="28"/>
        <v>77</v>
      </c>
      <c r="L15" s="50">
        <f t="shared" ca="1" si="28"/>
        <v>80</v>
      </c>
      <c r="M15" s="51">
        <f t="shared" ca="1" si="28"/>
        <v>82</v>
      </c>
    </row>
    <row r="16" spans="1:16" x14ac:dyDescent="0.25">
      <c r="B16" s="33" t="s">
        <v>17</v>
      </c>
      <c r="C16" s="46">
        <f>M14+1</f>
        <v>2021</v>
      </c>
      <c r="D16" s="47">
        <f>C16+1</f>
        <v>2022</v>
      </c>
      <c r="E16" s="47">
        <f t="shared" ref="E16" si="29">D16+1</f>
        <v>2023</v>
      </c>
      <c r="F16" s="47">
        <f t="shared" ref="F16" si="30">E16+1</f>
        <v>2024</v>
      </c>
      <c r="G16" s="47">
        <f t="shared" ref="G16" si="31">F16+1</f>
        <v>2025</v>
      </c>
      <c r="H16" s="47">
        <f t="shared" ref="H16" si="32">G16+1</f>
        <v>2026</v>
      </c>
      <c r="I16" s="47">
        <f>H16+1</f>
        <v>2027</v>
      </c>
      <c r="J16" s="47">
        <f t="shared" ref="J16" si="33">I16+1</f>
        <v>2028</v>
      </c>
      <c r="K16" s="47">
        <f t="shared" ref="K16" si="34">J16+1</f>
        <v>2029</v>
      </c>
      <c r="L16" s="47">
        <f>K16+1</f>
        <v>2030</v>
      </c>
      <c r="M16" s="48">
        <f t="shared" ref="M16" si="35">L16+1</f>
        <v>2031</v>
      </c>
      <c r="N16">
        <v>2040</v>
      </c>
      <c r="O16">
        <v>2050</v>
      </c>
      <c r="P16">
        <v>2060</v>
      </c>
    </row>
    <row r="17" spans="1:16" x14ac:dyDescent="0.25">
      <c r="B17" s="32" t="s">
        <v>18</v>
      </c>
      <c r="C17" s="49">
        <f ca="1">ROUND(OFFSET(INDIRECT($A12&amp;"!n$5"),0,C$2)/8.76,0)</f>
        <v>85</v>
      </c>
      <c r="D17" s="50">
        <f t="shared" ref="D17:P17" ca="1" si="36">ROUND(OFFSET(INDIRECT($A12&amp;"!n$5"),0,D$2)/8.76,0)</f>
        <v>88</v>
      </c>
      <c r="E17" s="50">
        <f t="shared" ca="1" si="36"/>
        <v>92</v>
      </c>
      <c r="F17" s="50">
        <f t="shared" ca="1" si="36"/>
        <v>95</v>
      </c>
      <c r="G17" s="50">
        <f t="shared" ca="1" si="36"/>
        <v>99</v>
      </c>
      <c r="H17" s="50">
        <f t="shared" ca="1" si="36"/>
        <v>102</v>
      </c>
      <c r="I17" s="50">
        <f t="shared" ca="1" si="36"/>
        <v>106</v>
      </c>
      <c r="J17" s="50">
        <f t="shared" ca="1" si="36"/>
        <v>110</v>
      </c>
      <c r="K17" s="50">
        <f t="shared" ca="1" si="36"/>
        <v>114</v>
      </c>
      <c r="L17" s="50">
        <f t="shared" ca="1" si="36"/>
        <v>118</v>
      </c>
      <c r="M17" s="51">
        <f t="shared" ca="1" si="36"/>
        <v>123</v>
      </c>
      <c r="N17" s="51">
        <f t="shared" ca="1" si="36"/>
        <v>170</v>
      </c>
      <c r="O17" s="51">
        <f t="shared" ca="1" si="36"/>
        <v>244</v>
      </c>
      <c r="P17" s="51">
        <f t="shared" ca="1" si="36"/>
        <v>244</v>
      </c>
    </row>
    <row r="21" spans="1:16" x14ac:dyDescent="0.25">
      <c r="A21" s="92" t="s">
        <v>75</v>
      </c>
      <c r="B21" s="35" t="str">
        <f>VLOOKUP(A21,General!$B$9:$C$23,2,FALSE)</f>
        <v>Guinea-Bissau</v>
      </c>
      <c r="O21" t="str">
        <f ca="1">C24&amp;" "&amp;D24&amp;" "&amp;E24&amp;" "&amp;F24&amp;" "&amp;G24&amp;" "&amp;H24&amp;" "&amp;I24&amp;" "&amp;J24&amp;" "&amp;K24&amp;" "&amp;L24&amp;" "&amp;M24&amp;" "&amp;C26&amp;" "&amp;D26&amp;" "&amp;E26&amp;" "&amp;F26&amp;" "&amp;G26&amp;" "&amp;H26&amp;" "&amp;I26&amp;" "&amp;J26&amp;" "&amp;K26&amp;" "&amp;L26&amp;" "&amp;M26&amp;" "&amp;N26&amp;" "&amp;O26&amp;" "&amp;P26</f>
        <v>13.7 13.7 14.5 15.2 16.2 17.1 18.1 22.6 27.3 32.2 37.4 42.8 45.1 47.6 50.2 52.9 55.6 58.5 61.6 64.8 68.1 71.7 109 168.4 168.4</v>
      </c>
    </row>
    <row r="22" spans="1:16" ht="15.75" thickBot="1" x14ac:dyDescent="0.3">
      <c r="B22" s="34" t="s">
        <v>19</v>
      </c>
    </row>
    <row r="23" spans="1:16" ht="15.75" thickTop="1" x14ac:dyDescent="0.25">
      <c r="B23" s="31" t="s">
        <v>17</v>
      </c>
      <c r="C23" s="46">
        <v>2010</v>
      </c>
      <c r="D23" s="47">
        <f>C23+1</f>
        <v>2011</v>
      </c>
      <c r="E23" s="47">
        <f t="shared" ref="E23" si="37">D23+1</f>
        <v>2012</v>
      </c>
      <c r="F23" s="47">
        <f t="shared" ref="F23" si="38">E23+1</f>
        <v>2013</v>
      </c>
      <c r="G23" s="47">
        <f t="shared" ref="G23" si="39">F23+1</f>
        <v>2014</v>
      </c>
      <c r="H23" s="47">
        <f t="shared" ref="H23" si="40">G23+1</f>
        <v>2015</v>
      </c>
      <c r="I23" s="47">
        <f t="shared" ref="I23" si="41">H23+1</f>
        <v>2016</v>
      </c>
      <c r="J23" s="47">
        <f t="shared" ref="J23" si="42">I23+1</f>
        <v>2017</v>
      </c>
      <c r="K23" s="47">
        <f t="shared" ref="K23" si="43">J23+1</f>
        <v>2018</v>
      </c>
      <c r="L23" s="47">
        <f t="shared" ref="L23" si="44">K23+1</f>
        <v>2019</v>
      </c>
      <c r="M23" s="48">
        <f t="shared" ref="M23" si="45">L23+1</f>
        <v>2020</v>
      </c>
    </row>
    <row r="24" spans="1:16" x14ac:dyDescent="0.25">
      <c r="B24" s="32" t="s">
        <v>18</v>
      </c>
      <c r="C24" s="100">
        <f ca="1">ROUND(OFFSET(INDIRECT($A21&amp;"!C$5"),0,C$2)/8.76,1)</f>
        <v>13.7</v>
      </c>
      <c r="D24" s="101">
        <f t="shared" ref="D24:M24" ca="1" si="46">ROUND(OFFSET(INDIRECT($A21&amp;"!C$5"),0,D$2)/8.76,1)</f>
        <v>13.7</v>
      </c>
      <c r="E24" s="101">
        <f t="shared" ca="1" si="46"/>
        <v>14.5</v>
      </c>
      <c r="F24" s="101">
        <f t="shared" ca="1" si="46"/>
        <v>15.2</v>
      </c>
      <c r="G24" s="101">
        <f t="shared" ca="1" si="46"/>
        <v>16.2</v>
      </c>
      <c r="H24" s="101">
        <f t="shared" ca="1" si="46"/>
        <v>17.100000000000001</v>
      </c>
      <c r="I24" s="101">
        <f t="shared" ca="1" si="46"/>
        <v>18.100000000000001</v>
      </c>
      <c r="J24" s="101">
        <f t="shared" ca="1" si="46"/>
        <v>22.6</v>
      </c>
      <c r="K24" s="101">
        <f t="shared" ca="1" si="46"/>
        <v>27.3</v>
      </c>
      <c r="L24" s="101">
        <f t="shared" ca="1" si="46"/>
        <v>32.200000000000003</v>
      </c>
      <c r="M24" s="102">
        <f t="shared" ca="1" si="46"/>
        <v>37.4</v>
      </c>
    </row>
    <row r="25" spans="1:16" x14ac:dyDescent="0.25">
      <c r="B25" s="33" t="s">
        <v>17</v>
      </c>
      <c r="C25" s="46">
        <f>M23+1</f>
        <v>2021</v>
      </c>
      <c r="D25" s="47">
        <f>C25+1</f>
        <v>2022</v>
      </c>
      <c r="E25" s="47">
        <f t="shared" ref="E25" si="47">D25+1</f>
        <v>2023</v>
      </c>
      <c r="F25" s="47">
        <f t="shared" ref="F25" si="48">E25+1</f>
        <v>2024</v>
      </c>
      <c r="G25" s="47">
        <f t="shared" ref="G25" si="49">F25+1</f>
        <v>2025</v>
      </c>
      <c r="H25" s="47">
        <f t="shared" ref="H25" si="50">G25+1</f>
        <v>2026</v>
      </c>
      <c r="I25" s="47">
        <f>H25+1</f>
        <v>2027</v>
      </c>
      <c r="J25" s="47">
        <f t="shared" ref="J25" si="51">I25+1</f>
        <v>2028</v>
      </c>
      <c r="K25" s="47">
        <f t="shared" ref="K25" si="52">J25+1</f>
        <v>2029</v>
      </c>
      <c r="L25" s="47">
        <f>K25+1</f>
        <v>2030</v>
      </c>
      <c r="M25" s="48">
        <f t="shared" ref="M25" si="53">L25+1</f>
        <v>2031</v>
      </c>
      <c r="N25">
        <v>2040</v>
      </c>
      <c r="O25">
        <v>2050</v>
      </c>
      <c r="P25">
        <v>2060</v>
      </c>
    </row>
    <row r="26" spans="1:16" x14ac:dyDescent="0.25">
      <c r="B26" s="32" t="s">
        <v>18</v>
      </c>
      <c r="C26" s="100">
        <f ca="1">ROUND(OFFSET(INDIRECT($A21&amp;"!n$5"),0,C$2)/8.76,1)</f>
        <v>42.8</v>
      </c>
      <c r="D26" s="101">
        <f t="shared" ref="D26:P26" ca="1" si="54">ROUND(OFFSET(INDIRECT($A21&amp;"!n$5"),0,D$2)/8.76,1)</f>
        <v>45.1</v>
      </c>
      <c r="E26" s="101">
        <f t="shared" ca="1" si="54"/>
        <v>47.6</v>
      </c>
      <c r="F26" s="101">
        <f t="shared" ca="1" si="54"/>
        <v>50.2</v>
      </c>
      <c r="G26" s="101">
        <f t="shared" ca="1" si="54"/>
        <v>52.9</v>
      </c>
      <c r="H26" s="101">
        <f t="shared" ca="1" si="54"/>
        <v>55.6</v>
      </c>
      <c r="I26" s="101">
        <f t="shared" ca="1" si="54"/>
        <v>58.5</v>
      </c>
      <c r="J26" s="101">
        <f t="shared" ca="1" si="54"/>
        <v>61.6</v>
      </c>
      <c r="K26" s="101">
        <f t="shared" ca="1" si="54"/>
        <v>64.8</v>
      </c>
      <c r="L26" s="101">
        <f t="shared" ca="1" si="54"/>
        <v>68.099999999999994</v>
      </c>
      <c r="M26" s="102">
        <f t="shared" ca="1" si="54"/>
        <v>71.7</v>
      </c>
      <c r="N26" s="102">
        <f t="shared" ca="1" si="54"/>
        <v>109</v>
      </c>
      <c r="O26" s="102">
        <f t="shared" ca="1" si="54"/>
        <v>168.4</v>
      </c>
      <c r="P26" s="102">
        <f t="shared" ca="1" si="54"/>
        <v>168.4</v>
      </c>
    </row>
    <row r="30" spans="1:16" x14ac:dyDescent="0.25">
      <c r="A30" s="92" t="s">
        <v>73</v>
      </c>
      <c r="B30" s="35" t="str">
        <f>VLOOKUP(A30,General!$B$9:$C$23,2,FALSE)</f>
        <v>Guinea</v>
      </c>
      <c r="O30" t="str">
        <f ca="1">C33&amp;" "&amp;D33&amp;" "&amp;E33&amp;" "&amp;F33&amp;" "&amp;G33&amp;" "&amp;H33&amp;" "&amp;I33&amp;" "&amp;J33&amp;" "&amp;K33&amp;" "&amp;L33&amp;" "&amp;M33&amp;" "&amp;C35&amp;" "&amp;D35&amp;" "&amp;E35&amp;" "&amp;F35&amp;" "&amp;G35&amp;" "&amp;H35&amp;" "&amp;I35&amp;" "&amp;J35&amp;" "&amp;K35&amp;" "&amp;L35&amp;" "&amp;M35&amp;" "&amp;N35&amp;" "&amp;O35&amp;" "&amp;P35</f>
        <v>59 59 74 91 107 152 167 171 177 182 188 197 204 211 217 224 230 236 242 248 255 261 330 427 427</v>
      </c>
    </row>
    <row r="31" spans="1:16" ht="15.75" thickBot="1" x14ac:dyDescent="0.3">
      <c r="B31" s="34" t="s">
        <v>19</v>
      </c>
    </row>
    <row r="32" spans="1:16" ht="15.75" thickTop="1" x14ac:dyDescent="0.25">
      <c r="B32" s="31" t="s">
        <v>17</v>
      </c>
      <c r="C32" s="46">
        <v>2010</v>
      </c>
      <c r="D32" s="47">
        <f>C32+1</f>
        <v>2011</v>
      </c>
      <c r="E32" s="47">
        <f t="shared" ref="E32" si="55">D32+1</f>
        <v>2012</v>
      </c>
      <c r="F32" s="47">
        <f t="shared" ref="F32" si="56">E32+1</f>
        <v>2013</v>
      </c>
      <c r="G32" s="47">
        <f t="shared" ref="G32" si="57">F32+1</f>
        <v>2014</v>
      </c>
      <c r="H32" s="47">
        <f t="shared" ref="H32" si="58">G32+1</f>
        <v>2015</v>
      </c>
      <c r="I32" s="47">
        <f t="shared" ref="I32" si="59">H32+1</f>
        <v>2016</v>
      </c>
      <c r="J32" s="47">
        <f t="shared" ref="J32" si="60">I32+1</f>
        <v>2017</v>
      </c>
      <c r="K32" s="47">
        <f t="shared" ref="K32" si="61">J32+1</f>
        <v>2018</v>
      </c>
      <c r="L32" s="47">
        <f t="shared" ref="L32" si="62">K32+1</f>
        <v>2019</v>
      </c>
      <c r="M32" s="48">
        <f t="shared" ref="M32" si="63">L32+1</f>
        <v>2020</v>
      </c>
    </row>
    <row r="33" spans="1:16" x14ac:dyDescent="0.25">
      <c r="B33" s="32" t="s">
        <v>18</v>
      </c>
      <c r="C33" s="49">
        <f t="shared" ref="C33:M33" ca="1" si="64">ROUND(OFFSET(INDIRECT($A30&amp;"!C$5"),0,C$2)/8.76,0)</f>
        <v>59</v>
      </c>
      <c r="D33" s="50">
        <f t="shared" ca="1" si="64"/>
        <v>59</v>
      </c>
      <c r="E33" s="50">
        <f t="shared" ca="1" si="64"/>
        <v>74</v>
      </c>
      <c r="F33" s="50">
        <f t="shared" ca="1" si="64"/>
        <v>91</v>
      </c>
      <c r="G33" s="50">
        <f t="shared" ca="1" si="64"/>
        <v>107</v>
      </c>
      <c r="H33" s="50">
        <f t="shared" ca="1" si="64"/>
        <v>152</v>
      </c>
      <c r="I33" s="50">
        <f t="shared" ca="1" si="64"/>
        <v>167</v>
      </c>
      <c r="J33" s="50">
        <f t="shared" ca="1" si="64"/>
        <v>171</v>
      </c>
      <c r="K33" s="50">
        <f t="shared" ca="1" si="64"/>
        <v>177</v>
      </c>
      <c r="L33" s="50">
        <f t="shared" ca="1" si="64"/>
        <v>182</v>
      </c>
      <c r="M33" s="51">
        <f t="shared" ca="1" si="64"/>
        <v>188</v>
      </c>
    </row>
    <row r="34" spans="1:16" x14ac:dyDescent="0.25">
      <c r="B34" s="33" t="s">
        <v>17</v>
      </c>
      <c r="C34" s="46">
        <f>M32+1</f>
        <v>2021</v>
      </c>
      <c r="D34" s="47">
        <f>C34+1</f>
        <v>2022</v>
      </c>
      <c r="E34" s="47">
        <f t="shared" ref="E34" si="65">D34+1</f>
        <v>2023</v>
      </c>
      <c r="F34" s="47">
        <f t="shared" ref="F34" si="66">E34+1</f>
        <v>2024</v>
      </c>
      <c r="G34" s="47">
        <f t="shared" ref="G34" si="67">F34+1</f>
        <v>2025</v>
      </c>
      <c r="H34" s="47">
        <f t="shared" ref="H34" si="68">G34+1</f>
        <v>2026</v>
      </c>
      <c r="I34" s="47">
        <f>H34+1</f>
        <v>2027</v>
      </c>
      <c r="J34" s="47">
        <f t="shared" ref="J34" si="69">I34+1</f>
        <v>2028</v>
      </c>
      <c r="K34" s="47">
        <f t="shared" ref="K34" si="70">J34+1</f>
        <v>2029</v>
      </c>
      <c r="L34" s="47">
        <f>K34+1</f>
        <v>2030</v>
      </c>
      <c r="M34" s="48">
        <f t="shared" ref="M34" si="71">L34+1</f>
        <v>2031</v>
      </c>
      <c r="N34">
        <v>2040</v>
      </c>
      <c r="O34">
        <v>2050</v>
      </c>
      <c r="P34">
        <v>2060</v>
      </c>
    </row>
    <row r="35" spans="1:16" x14ac:dyDescent="0.25">
      <c r="B35" s="32" t="s">
        <v>18</v>
      </c>
      <c r="C35" s="49">
        <f ca="1">ROUND(OFFSET(INDIRECT($A30&amp;"!n$5"),0,C$2)/8.76,0)</f>
        <v>197</v>
      </c>
      <c r="D35" s="50">
        <f t="shared" ref="D35:P35" ca="1" si="72">ROUND(OFFSET(INDIRECT($A30&amp;"!n$5"),0,D$2)/8.76,0)</f>
        <v>204</v>
      </c>
      <c r="E35" s="50">
        <f t="shared" ca="1" si="72"/>
        <v>211</v>
      </c>
      <c r="F35" s="50">
        <f t="shared" ca="1" si="72"/>
        <v>217</v>
      </c>
      <c r="G35" s="50">
        <f t="shared" ca="1" si="72"/>
        <v>224</v>
      </c>
      <c r="H35" s="50">
        <f t="shared" ca="1" si="72"/>
        <v>230</v>
      </c>
      <c r="I35" s="50">
        <f t="shared" ca="1" si="72"/>
        <v>236</v>
      </c>
      <c r="J35" s="50">
        <f t="shared" ca="1" si="72"/>
        <v>242</v>
      </c>
      <c r="K35" s="50">
        <f t="shared" ca="1" si="72"/>
        <v>248</v>
      </c>
      <c r="L35" s="50">
        <f t="shared" ca="1" si="72"/>
        <v>255</v>
      </c>
      <c r="M35" s="51">
        <f t="shared" ca="1" si="72"/>
        <v>261</v>
      </c>
      <c r="N35" s="51">
        <f t="shared" ca="1" si="72"/>
        <v>330</v>
      </c>
      <c r="O35" s="51">
        <f t="shared" ca="1" si="72"/>
        <v>427</v>
      </c>
      <c r="P35" s="51">
        <f t="shared" ca="1" si="72"/>
        <v>427</v>
      </c>
    </row>
    <row r="39" spans="1:16" x14ac:dyDescent="0.25">
      <c r="A39" s="92" t="s">
        <v>86</v>
      </c>
      <c r="B39" s="35" t="str">
        <f>VLOOKUP(A39,General!$B$9:$C$23,2,FALSE)</f>
        <v>Sierra Leone</v>
      </c>
      <c r="O39" t="str">
        <f ca="1">C42&amp;" "&amp;D42&amp;" "&amp;E42&amp;" "&amp;F42&amp;" "&amp;G42&amp;" "&amp;H42&amp;" "&amp;I42&amp;" "&amp;J42&amp;" "&amp;K42&amp;" "&amp;L42&amp;" "&amp;M42&amp;" "&amp;C44&amp;" "&amp;D44&amp;" "&amp;E44&amp;" "&amp;F44&amp;" "&amp;G44&amp;" "&amp;H44&amp;" "&amp;I44&amp;" "&amp;J44&amp;" "&amp;K44&amp;" "&amp;L44&amp;" "&amp;M44&amp;" "&amp;N44&amp;" "&amp;O44&amp;" "&amp;P44</f>
        <v>16 20 26 35 47 57 69 77 80 84 88 93 98 103 107 112 116 120 124 128 132 137 183 254 254</v>
      </c>
    </row>
    <row r="40" spans="1:16" ht="15.75" thickBot="1" x14ac:dyDescent="0.3">
      <c r="B40" s="34" t="s">
        <v>19</v>
      </c>
    </row>
    <row r="41" spans="1:16" ht="15.75" thickTop="1" x14ac:dyDescent="0.25">
      <c r="B41" s="31" t="s">
        <v>17</v>
      </c>
      <c r="C41" s="46">
        <v>2010</v>
      </c>
      <c r="D41" s="47">
        <f>C41+1</f>
        <v>2011</v>
      </c>
      <c r="E41" s="47">
        <f t="shared" ref="E41" si="73">D41+1</f>
        <v>2012</v>
      </c>
      <c r="F41" s="47">
        <f t="shared" ref="F41" si="74">E41+1</f>
        <v>2013</v>
      </c>
      <c r="G41" s="47">
        <f t="shared" ref="G41" si="75">F41+1</f>
        <v>2014</v>
      </c>
      <c r="H41" s="47">
        <f t="shared" ref="H41" si="76">G41+1</f>
        <v>2015</v>
      </c>
      <c r="I41" s="47">
        <f t="shared" ref="I41" si="77">H41+1</f>
        <v>2016</v>
      </c>
      <c r="J41" s="47">
        <f t="shared" ref="J41" si="78">I41+1</f>
        <v>2017</v>
      </c>
      <c r="K41" s="47">
        <f t="shared" ref="K41" si="79">J41+1</f>
        <v>2018</v>
      </c>
      <c r="L41" s="47">
        <f t="shared" ref="L41" si="80">K41+1</f>
        <v>2019</v>
      </c>
      <c r="M41" s="48">
        <f t="shared" ref="M41" si="81">L41+1</f>
        <v>2020</v>
      </c>
    </row>
    <row r="42" spans="1:16" x14ac:dyDescent="0.25">
      <c r="B42" s="32" t="s">
        <v>18</v>
      </c>
      <c r="C42" s="49">
        <f t="shared" ref="C42:M42" ca="1" si="82">ROUND(OFFSET(INDIRECT($A39&amp;"!C$5"),0,C$2)/8.76,0)</f>
        <v>16</v>
      </c>
      <c r="D42" s="50">
        <f t="shared" ca="1" si="82"/>
        <v>20</v>
      </c>
      <c r="E42" s="50">
        <f t="shared" ca="1" si="82"/>
        <v>26</v>
      </c>
      <c r="F42" s="50">
        <f t="shared" ca="1" si="82"/>
        <v>35</v>
      </c>
      <c r="G42" s="50">
        <f t="shared" ca="1" si="82"/>
        <v>47</v>
      </c>
      <c r="H42" s="50">
        <f t="shared" ca="1" si="82"/>
        <v>57</v>
      </c>
      <c r="I42" s="50">
        <f t="shared" ca="1" si="82"/>
        <v>69</v>
      </c>
      <c r="J42" s="50">
        <f t="shared" ca="1" si="82"/>
        <v>77</v>
      </c>
      <c r="K42" s="50">
        <f t="shared" ca="1" si="82"/>
        <v>80</v>
      </c>
      <c r="L42" s="50">
        <f t="shared" ca="1" si="82"/>
        <v>84</v>
      </c>
      <c r="M42" s="51">
        <f t="shared" ca="1" si="82"/>
        <v>88</v>
      </c>
    </row>
    <row r="43" spans="1:16" x14ac:dyDescent="0.25">
      <c r="B43" s="33" t="s">
        <v>17</v>
      </c>
      <c r="C43" s="46">
        <f>M41+1</f>
        <v>2021</v>
      </c>
      <c r="D43" s="47">
        <f>C43+1</f>
        <v>2022</v>
      </c>
      <c r="E43" s="47">
        <f t="shared" ref="E43" si="83">D43+1</f>
        <v>2023</v>
      </c>
      <c r="F43" s="47">
        <f t="shared" ref="F43" si="84">E43+1</f>
        <v>2024</v>
      </c>
      <c r="G43" s="47">
        <f t="shared" ref="G43" si="85">F43+1</f>
        <v>2025</v>
      </c>
      <c r="H43" s="47">
        <f t="shared" ref="H43" si="86">G43+1</f>
        <v>2026</v>
      </c>
      <c r="I43" s="47">
        <f>H43+1</f>
        <v>2027</v>
      </c>
      <c r="J43" s="47">
        <f t="shared" ref="J43" si="87">I43+1</f>
        <v>2028</v>
      </c>
      <c r="K43" s="47">
        <f t="shared" ref="K43" si="88">J43+1</f>
        <v>2029</v>
      </c>
      <c r="L43" s="47">
        <f>K43+1</f>
        <v>2030</v>
      </c>
      <c r="M43" s="48">
        <f t="shared" ref="M43" si="89">L43+1</f>
        <v>2031</v>
      </c>
      <c r="N43">
        <v>2040</v>
      </c>
      <c r="O43">
        <v>2050</v>
      </c>
      <c r="P43">
        <v>2060</v>
      </c>
    </row>
    <row r="44" spans="1:16" x14ac:dyDescent="0.25">
      <c r="B44" s="32" t="s">
        <v>18</v>
      </c>
      <c r="C44" s="49">
        <f ca="1">ROUND(OFFSET(INDIRECT($A39&amp;"!n$5"),0,C$2)/8.76,0)</f>
        <v>93</v>
      </c>
      <c r="D44" s="50">
        <f t="shared" ref="D44:P44" ca="1" si="90">ROUND(OFFSET(INDIRECT($A39&amp;"!n$5"),0,D$2)/8.76,0)</f>
        <v>98</v>
      </c>
      <c r="E44" s="50">
        <f t="shared" ca="1" si="90"/>
        <v>103</v>
      </c>
      <c r="F44" s="50">
        <f t="shared" ca="1" si="90"/>
        <v>107</v>
      </c>
      <c r="G44" s="50">
        <f t="shared" ca="1" si="90"/>
        <v>112</v>
      </c>
      <c r="H44" s="50">
        <f t="shared" ca="1" si="90"/>
        <v>116</v>
      </c>
      <c r="I44" s="50">
        <f t="shared" ca="1" si="90"/>
        <v>120</v>
      </c>
      <c r="J44" s="50">
        <f t="shared" ca="1" si="90"/>
        <v>124</v>
      </c>
      <c r="K44" s="50">
        <f t="shared" ca="1" si="90"/>
        <v>128</v>
      </c>
      <c r="L44" s="50">
        <f t="shared" ca="1" si="90"/>
        <v>132</v>
      </c>
      <c r="M44" s="51">
        <f t="shared" ca="1" si="90"/>
        <v>137</v>
      </c>
      <c r="N44" s="51">
        <f t="shared" ca="1" si="90"/>
        <v>183</v>
      </c>
      <c r="O44" s="51">
        <f t="shared" ca="1" si="90"/>
        <v>254</v>
      </c>
      <c r="P44" s="51">
        <f t="shared" ca="1" si="90"/>
        <v>254</v>
      </c>
    </row>
    <row r="48" spans="1:16" x14ac:dyDescent="0.25">
      <c r="A48" s="92" t="s">
        <v>77</v>
      </c>
      <c r="B48" s="35" t="str">
        <f>VLOOKUP(A48,General!$B$9:$C$23,2,FALSE)</f>
        <v>Liberia</v>
      </c>
      <c r="O48" t="str">
        <f ca="1">C51&amp;" "&amp;D51&amp;" "&amp;E51&amp;" "&amp;F51&amp;" "&amp;G51&amp;" "&amp;H51&amp;" "&amp;I51&amp;" "&amp;J51&amp;" "&amp;K51&amp;" "&amp;L51&amp;" "&amp;M51&amp;" "&amp;C53&amp;" "&amp;D53&amp;" "&amp;E53&amp;" "&amp;F53&amp;" "&amp;G53&amp;" "&amp;H53&amp;" "&amp;I53&amp;" "&amp;J53&amp;" "&amp;K53&amp;" "&amp;L53&amp;" "&amp;M53&amp;" "&amp;N53&amp;" "&amp;O53&amp;" "&amp;P53</f>
        <v>3 5 10 16 22 26 27 29 30 32 34 37 39 42 44 47 50 53 56 60 63 67 114 206 206</v>
      </c>
    </row>
    <row r="49" spans="1:16" ht="15.75" thickBot="1" x14ac:dyDescent="0.3">
      <c r="B49" s="34" t="s">
        <v>19</v>
      </c>
    </row>
    <row r="50" spans="1:16" ht="15.75" thickTop="1" x14ac:dyDescent="0.25">
      <c r="B50" s="31" t="s">
        <v>17</v>
      </c>
      <c r="C50" s="46">
        <v>2010</v>
      </c>
      <c r="D50" s="47">
        <f>C50+1</f>
        <v>2011</v>
      </c>
      <c r="E50" s="47">
        <f t="shared" ref="E50" si="91">D50+1</f>
        <v>2012</v>
      </c>
      <c r="F50" s="47">
        <f t="shared" ref="F50" si="92">E50+1</f>
        <v>2013</v>
      </c>
      <c r="G50" s="47">
        <f t="shared" ref="G50" si="93">F50+1</f>
        <v>2014</v>
      </c>
      <c r="H50" s="47">
        <f t="shared" ref="H50" si="94">G50+1</f>
        <v>2015</v>
      </c>
      <c r="I50" s="47">
        <f t="shared" ref="I50" si="95">H50+1</f>
        <v>2016</v>
      </c>
      <c r="J50" s="47">
        <f t="shared" ref="J50" si="96">I50+1</f>
        <v>2017</v>
      </c>
      <c r="K50" s="47">
        <f t="shared" ref="K50" si="97">J50+1</f>
        <v>2018</v>
      </c>
      <c r="L50" s="47">
        <f t="shared" ref="L50" si="98">K50+1</f>
        <v>2019</v>
      </c>
      <c r="M50" s="48">
        <f t="shared" ref="M50" si="99">L50+1</f>
        <v>2020</v>
      </c>
    </row>
    <row r="51" spans="1:16" x14ac:dyDescent="0.25">
      <c r="B51" s="32" t="s">
        <v>18</v>
      </c>
      <c r="C51" s="49">
        <f t="shared" ref="C51:M51" ca="1" si="100">ROUND(OFFSET(INDIRECT($A48&amp;"!C$5"),0,C$2)/8.76,0)</f>
        <v>3</v>
      </c>
      <c r="D51" s="50">
        <f t="shared" ca="1" si="100"/>
        <v>5</v>
      </c>
      <c r="E51" s="50">
        <f t="shared" ca="1" si="100"/>
        <v>10</v>
      </c>
      <c r="F51" s="50">
        <f t="shared" ca="1" si="100"/>
        <v>16</v>
      </c>
      <c r="G51" s="50">
        <f t="shared" ca="1" si="100"/>
        <v>22</v>
      </c>
      <c r="H51" s="50">
        <f t="shared" ca="1" si="100"/>
        <v>26</v>
      </c>
      <c r="I51" s="50">
        <f t="shared" ca="1" si="100"/>
        <v>27</v>
      </c>
      <c r="J51" s="50">
        <f t="shared" ca="1" si="100"/>
        <v>29</v>
      </c>
      <c r="K51" s="50">
        <f t="shared" ca="1" si="100"/>
        <v>30</v>
      </c>
      <c r="L51" s="50">
        <f t="shared" ca="1" si="100"/>
        <v>32</v>
      </c>
      <c r="M51" s="51">
        <f t="shared" ca="1" si="100"/>
        <v>34</v>
      </c>
    </row>
    <row r="52" spans="1:16" x14ac:dyDescent="0.25">
      <c r="B52" s="33" t="s">
        <v>17</v>
      </c>
      <c r="C52" s="46">
        <f>M50+1</f>
        <v>2021</v>
      </c>
      <c r="D52" s="47">
        <f>C52+1</f>
        <v>2022</v>
      </c>
      <c r="E52" s="47">
        <f t="shared" ref="E52" si="101">D52+1</f>
        <v>2023</v>
      </c>
      <c r="F52" s="47">
        <f t="shared" ref="F52" si="102">E52+1</f>
        <v>2024</v>
      </c>
      <c r="G52" s="47">
        <f t="shared" ref="G52" si="103">F52+1</f>
        <v>2025</v>
      </c>
      <c r="H52" s="47">
        <f t="shared" ref="H52" si="104">G52+1</f>
        <v>2026</v>
      </c>
      <c r="I52" s="47">
        <f>H52+1</f>
        <v>2027</v>
      </c>
      <c r="J52" s="47">
        <f t="shared" ref="J52" si="105">I52+1</f>
        <v>2028</v>
      </c>
      <c r="K52" s="47">
        <f t="shared" ref="K52" si="106">J52+1</f>
        <v>2029</v>
      </c>
      <c r="L52" s="47">
        <f>K52+1</f>
        <v>2030</v>
      </c>
      <c r="M52" s="48">
        <f t="shared" ref="M52" si="107">L52+1</f>
        <v>2031</v>
      </c>
      <c r="N52">
        <v>2040</v>
      </c>
      <c r="O52">
        <v>2050</v>
      </c>
      <c r="P52">
        <v>2060</v>
      </c>
    </row>
    <row r="53" spans="1:16" x14ac:dyDescent="0.25">
      <c r="B53" s="32" t="s">
        <v>18</v>
      </c>
      <c r="C53" s="49">
        <f ca="1">ROUND(OFFSET(INDIRECT($A48&amp;"!n$5"),0,C$2)/8.76,0)</f>
        <v>37</v>
      </c>
      <c r="D53" s="50">
        <f t="shared" ref="D53:P53" ca="1" si="108">ROUND(OFFSET(INDIRECT($A48&amp;"!n$5"),0,D$2)/8.76,0)</f>
        <v>39</v>
      </c>
      <c r="E53" s="50">
        <f t="shared" ca="1" si="108"/>
        <v>42</v>
      </c>
      <c r="F53" s="50">
        <f t="shared" ca="1" si="108"/>
        <v>44</v>
      </c>
      <c r="G53" s="50">
        <f t="shared" ca="1" si="108"/>
        <v>47</v>
      </c>
      <c r="H53" s="50">
        <f t="shared" ca="1" si="108"/>
        <v>50</v>
      </c>
      <c r="I53" s="50">
        <f t="shared" ca="1" si="108"/>
        <v>53</v>
      </c>
      <c r="J53" s="50">
        <f t="shared" ca="1" si="108"/>
        <v>56</v>
      </c>
      <c r="K53" s="50">
        <f t="shared" ca="1" si="108"/>
        <v>60</v>
      </c>
      <c r="L53" s="50">
        <f t="shared" ca="1" si="108"/>
        <v>63</v>
      </c>
      <c r="M53" s="51">
        <f t="shared" ca="1" si="108"/>
        <v>67</v>
      </c>
      <c r="N53" s="51">
        <f t="shared" ca="1" si="108"/>
        <v>114</v>
      </c>
      <c r="O53" s="51">
        <f t="shared" ca="1" si="108"/>
        <v>206</v>
      </c>
      <c r="P53" s="51">
        <f t="shared" ca="1" si="108"/>
        <v>206</v>
      </c>
    </row>
    <row r="57" spans="1:16" x14ac:dyDescent="0.25">
      <c r="A57" s="92" t="s">
        <v>29</v>
      </c>
      <c r="B57" s="35" t="str">
        <f>VLOOKUP(A57,General!$B$9:$C$23,2,FALSE)</f>
        <v>Mali</v>
      </c>
      <c r="O57" t="str">
        <f ca="1">C60&amp;" "&amp;D60&amp;" "&amp;E60&amp;" "&amp;F60&amp;" "&amp;G60&amp;" "&amp;H60&amp;" "&amp;I60&amp;" "&amp;J60&amp;" "&amp;K60&amp;" "&amp;L60&amp;" "&amp;M60&amp;" "&amp;C62&amp;" "&amp;D62&amp;" "&amp;E62&amp;" "&amp;F62&amp;" "&amp;G62&amp;" "&amp;H62&amp;" "&amp;I62&amp;" "&amp;J62&amp;" "&amp;K62&amp;" "&amp;L62&amp;" "&amp;M62&amp;" "&amp;N62&amp;" "&amp;O62&amp;" "&amp;P62</f>
        <v>107 110 120 134 205 216 281 291 306 315 330 346 363 380 398 415 432 449 466 485 504 524 741 1090 1090</v>
      </c>
    </row>
    <row r="58" spans="1:16" ht="15.75" thickBot="1" x14ac:dyDescent="0.3">
      <c r="B58" s="34" t="s">
        <v>19</v>
      </c>
    </row>
    <row r="59" spans="1:16" ht="15.75" thickTop="1" x14ac:dyDescent="0.25">
      <c r="B59" s="31" t="s">
        <v>17</v>
      </c>
      <c r="C59" s="46">
        <v>2010</v>
      </c>
      <c r="D59" s="47">
        <f>C59+1</f>
        <v>2011</v>
      </c>
      <c r="E59" s="47">
        <f t="shared" ref="E59" si="109">D59+1</f>
        <v>2012</v>
      </c>
      <c r="F59" s="47">
        <f t="shared" ref="F59" si="110">E59+1</f>
        <v>2013</v>
      </c>
      <c r="G59" s="47">
        <f t="shared" ref="G59" si="111">F59+1</f>
        <v>2014</v>
      </c>
      <c r="H59" s="47">
        <f t="shared" ref="H59" si="112">G59+1</f>
        <v>2015</v>
      </c>
      <c r="I59" s="47">
        <f t="shared" ref="I59" si="113">H59+1</f>
        <v>2016</v>
      </c>
      <c r="J59" s="47">
        <f t="shared" ref="J59" si="114">I59+1</f>
        <v>2017</v>
      </c>
      <c r="K59" s="47">
        <f t="shared" ref="K59" si="115">J59+1</f>
        <v>2018</v>
      </c>
      <c r="L59" s="47">
        <f t="shared" ref="L59" si="116">K59+1</f>
        <v>2019</v>
      </c>
      <c r="M59" s="48">
        <f t="shared" ref="M59" si="117">L59+1</f>
        <v>2020</v>
      </c>
    </row>
    <row r="60" spans="1:16" x14ac:dyDescent="0.25">
      <c r="B60" s="32" t="s">
        <v>18</v>
      </c>
      <c r="C60" s="49">
        <f t="shared" ref="C60:M60" ca="1" si="118">ROUND(OFFSET(INDIRECT($A57&amp;"!C$5"),0,C$2)/8.76,0)</f>
        <v>107</v>
      </c>
      <c r="D60" s="50">
        <f t="shared" ca="1" si="118"/>
        <v>110</v>
      </c>
      <c r="E60" s="50">
        <f t="shared" ca="1" si="118"/>
        <v>120</v>
      </c>
      <c r="F60" s="50">
        <f t="shared" ca="1" si="118"/>
        <v>134</v>
      </c>
      <c r="G60" s="50">
        <f t="shared" ca="1" si="118"/>
        <v>205</v>
      </c>
      <c r="H60" s="50">
        <f t="shared" ca="1" si="118"/>
        <v>216</v>
      </c>
      <c r="I60" s="50">
        <f t="shared" ca="1" si="118"/>
        <v>281</v>
      </c>
      <c r="J60" s="50">
        <f t="shared" ca="1" si="118"/>
        <v>291</v>
      </c>
      <c r="K60" s="50">
        <f t="shared" ca="1" si="118"/>
        <v>306</v>
      </c>
      <c r="L60" s="50">
        <f t="shared" ca="1" si="118"/>
        <v>315</v>
      </c>
      <c r="M60" s="51">
        <f t="shared" ca="1" si="118"/>
        <v>330</v>
      </c>
    </row>
    <row r="61" spans="1:16" x14ac:dyDescent="0.25">
      <c r="B61" s="33" t="s">
        <v>17</v>
      </c>
      <c r="C61" s="46">
        <f>M59+1</f>
        <v>2021</v>
      </c>
      <c r="D61" s="47">
        <f>C61+1</f>
        <v>2022</v>
      </c>
      <c r="E61" s="47">
        <f t="shared" ref="E61" si="119">D61+1</f>
        <v>2023</v>
      </c>
      <c r="F61" s="47">
        <f t="shared" ref="F61" si="120">E61+1</f>
        <v>2024</v>
      </c>
      <c r="G61" s="47">
        <f t="shared" ref="G61" si="121">F61+1</f>
        <v>2025</v>
      </c>
      <c r="H61" s="47">
        <f t="shared" ref="H61" si="122">G61+1</f>
        <v>2026</v>
      </c>
      <c r="I61" s="47">
        <f>H61+1</f>
        <v>2027</v>
      </c>
      <c r="J61" s="47">
        <f t="shared" ref="J61" si="123">I61+1</f>
        <v>2028</v>
      </c>
      <c r="K61" s="47">
        <f t="shared" ref="K61" si="124">J61+1</f>
        <v>2029</v>
      </c>
      <c r="L61" s="47">
        <f>K61+1</f>
        <v>2030</v>
      </c>
      <c r="M61" s="48">
        <f t="shared" ref="M61" si="125">L61+1</f>
        <v>2031</v>
      </c>
      <c r="N61">
        <v>2040</v>
      </c>
      <c r="O61">
        <v>2050</v>
      </c>
      <c r="P61">
        <v>2060</v>
      </c>
    </row>
    <row r="62" spans="1:16" x14ac:dyDescent="0.25">
      <c r="B62" s="32" t="s">
        <v>18</v>
      </c>
      <c r="C62" s="49">
        <f ca="1">ROUND(OFFSET(INDIRECT($A57&amp;"!n$5"),0,C$2)/8.76,0)</f>
        <v>346</v>
      </c>
      <c r="D62" s="50">
        <f t="shared" ref="D62:P62" ca="1" si="126">ROUND(OFFSET(INDIRECT($A57&amp;"!n$5"),0,D$2)/8.76,0)</f>
        <v>363</v>
      </c>
      <c r="E62" s="50">
        <f t="shared" ca="1" si="126"/>
        <v>380</v>
      </c>
      <c r="F62" s="50">
        <f t="shared" ca="1" si="126"/>
        <v>398</v>
      </c>
      <c r="G62" s="50">
        <f t="shared" ca="1" si="126"/>
        <v>415</v>
      </c>
      <c r="H62" s="50">
        <f t="shared" ca="1" si="126"/>
        <v>432</v>
      </c>
      <c r="I62" s="50">
        <f t="shared" ca="1" si="126"/>
        <v>449</v>
      </c>
      <c r="J62" s="50">
        <f t="shared" ca="1" si="126"/>
        <v>466</v>
      </c>
      <c r="K62" s="50">
        <f t="shared" ca="1" si="126"/>
        <v>485</v>
      </c>
      <c r="L62" s="50">
        <f t="shared" ca="1" si="126"/>
        <v>504</v>
      </c>
      <c r="M62" s="51">
        <f t="shared" ca="1" si="126"/>
        <v>524</v>
      </c>
      <c r="N62" s="51">
        <f t="shared" ca="1" si="126"/>
        <v>741</v>
      </c>
      <c r="O62" s="51">
        <f t="shared" ca="1" si="126"/>
        <v>1090</v>
      </c>
      <c r="P62" s="51">
        <f t="shared" ca="1" si="126"/>
        <v>1090</v>
      </c>
    </row>
    <row r="66" spans="1:16" x14ac:dyDescent="0.25">
      <c r="A66" s="92" t="s">
        <v>62</v>
      </c>
      <c r="B66" s="35" t="str">
        <f>VLOOKUP(A66,General!$B$9:$C$23,2,FALSE)</f>
        <v>Cote d'Ivoire</v>
      </c>
      <c r="O66" t="str">
        <f ca="1">C69&amp;" "&amp;D69&amp;" "&amp;E69&amp;" "&amp;F69&amp;" "&amp;G69&amp;" "&amp;H69&amp;" "&amp;I69&amp;" "&amp;J69&amp;" "&amp;K69&amp;" "&amp;L69&amp;" "&amp;M69&amp;" "&amp;C71&amp;" "&amp;D71&amp;" "&amp;E71&amp;" "&amp;F71&amp;" "&amp;G71&amp;" "&amp;H71&amp;" "&amp;I71&amp;" "&amp;J71&amp;" "&amp;K71&amp;" "&amp;L71&amp;" "&amp;M71&amp;" "&amp;N71&amp;" "&amp;O71&amp;" "&amp;P71</f>
        <v>564 583 620 660 703 750 795 842 891 942 994 1049 1105 1164 1225 1289 1351 1416 1484 1555 1630 1708 2606 4168 4168</v>
      </c>
    </row>
    <row r="67" spans="1:16" ht="15.75" thickBot="1" x14ac:dyDescent="0.3">
      <c r="B67" s="34" t="s">
        <v>19</v>
      </c>
    </row>
    <row r="68" spans="1:16" ht="15.75" thickTop="1" x14ac:dyDescent="0.25">
      <c r="B68" s="31" t="s">
        <v>17</v>
      </c>
      <c r="C68" s="46">
        <v>2010</v>
      </c>
      <c r="D68" s="47">
        <f>C68+1</f>
        <v>2011</v>
      </c>
      <c r="E68" s="47">
        <f t="shared" ref="E68" si="127">D68+1</f>
        <v>2012</v>
      </c>
      <c r="F68" s="47">
        <f t="shared" ref="F68" si="128">E68+1</f>
        <v>2013</v>
      </c>
      <c r="G68" s="47">
        <f t="shared" ref="G68" si="129">F68+1</f>
        <v>2014</v>
      </c>
      <c r="H68" s="47">
        <f t="shared" ref="H68" si="130">G68+1</f>
        <v>2015</v>
      </c>
      <c r="I68" s="47">
        <f t="shared" ref="I68" si="131">H68+1</f>
        <v>2016</v>
      </c>
      <c r="J68" s="47">
        <f t="shared" ref="J68" si="132">I68+1</f>
        <v>2017</v>
      </c>
      <c r="K68" s="47">
        <f t="shared" ref="K68" si="133">J68+1</f>
        <v>2018</v>
      </c>
      <c r="L68" s="47">
        <f t="shared" ref="L68" si="134">K68+1</f>
        <v>2019</v>
      </c>
      <c r="M68" s="48">
        <f t="shared" ref="M68" si="135">L68+1</f>
        <v>2020</v>
      </c>
    </row>
    <row r="69" spans="1:16" x14ac:dyDescent="0.25">
      <c r="B69" s="32" t="s">
        <v>18</v>
      </c>
      <c r="C69" s="49">
        <f t="shared" ref="C69:M69" ca="1" si="136">ROUND(OFFSET(INDIRECT($A66&amp;"!C$5"),0,C$2)/8.76,0)</f>
        <v>564</v>
      </c>
      <c r="D69" s="50">
        <f t="shared" ca="1" si="136"/>
        <v>583</v>
      </c>
      <c r="E69" s="50">
        <f t="shared" ca="1" si="136"/>
        <v>620</v>
      </c>
      <c r="F69" s="50">
        <f t="shared" ca="1" si="136"/>
        <v>660</v>
      </c>
      <c r="G69" s="50">
        <f t="shared" ca="1" si="136"/>
        <v>703</v>
      </c>
      <c r="H69" s="50">
        <f t="shared" ca="1" si="136"/>
        <v>750</v>
      </c>
      <c r="I69" s="50">
        <f t="shared" ca="1" si="136"/>
        <v>795</v>
      </c>
      <c r="J69" s="50">
        <f t="shared" ca="1" si="136"/>
        <v>842</v>
      </c>
      <c r="K69" s="50">
        <f t="shared" ca="1" si="136"/>
        <v>891</v>
      </c>
      <c r="L69" s="50">
        <f t="shared" ca="1" si="136"/>
        <v>942</v>
      </c>
      <c r="M69" s="51">
        <f t="shared" ca="1" si="136"/>
        <v>994</v>
      </c>
    </row>
    <row r="70" spans="1:16" x14ac:dyDescent="0.25">
      <c r="B70" s="33" t="s">
        <v>17</v>
      </c>
      <c r="C70" s="46">
        <f>M68+1</f>
        <v>2021</v>
      </c>
      <c r="D70" s="47">
        <f>C70+1</f>
        <v>2022</v>
      </c>
      <c r="E70" s="47">
        <f t="shared" ref="E70" si="137">D70+1</f>
        <v>2023</v>
      </c>
      <c r="F70" s="47">
        <f t="shared" ref="F70" si="138">E70+1</f>
        <v>2024</v>
      </c>
      <c r="G70" s="47">
        <f t="shared" ref="G70" si="139">F70+1</f>
        <v>2025</v>
      </c>
      <c r="H70" s="47">
        <f t="shared" ref="H70" si="140">G70+1</f>
        <v>2026</v>
      </c>
      <c r="I70" s="47">
        <f>H70+1</f>
        <v>2027</v>
      </c>
      <c r="J70" s="47">
        <f t="shared" ref="J70" si="141">I70+1</f>
        <v>2028</v>
      </c>
      <c r="K70" s="47">
        <f t="shared" ref="K70" si="142">J70+1</f>
        <v>2029</v>
      </c>
      <c r="L70" s="47">
        <f>K70+1</f>
        <v>2030</v>
      </c>
      <c r="M70" s="48">
        <f t="shared" ref="M70" si="143">L70+1</f>
        <v>2031</v>
      </c>
      <c r="N70">
        <v>2040</v>
      </c>
      <c r="O70">
        <v>2050</v>
      </c>
      <c r="P70">
        <v>2060</v>
      </c>
    </row>
    <row r="71" spans="1:16" x14ac:dyDescent="0.25">
      <c r="B71" s="32" t="s">
        <v>18</v>
      </c>
      <c r="C71" s="49">
        <f ca="1">ROUND(OFFSET(INDIRECT($A66&amp;"!n$5"),0,C$2)/8.76,0)</f>
        <v>1049</v>
      </c>
      <c r="D71" s="50">
        <f t="shared" ref="D71:P71" ca="1" si="144">ROUND(OFFSET(INDIRECT($A66&amp;"!n$5"),0,D$2)/8.76,0)</f>
        <v>1105</v>
      </c>
      <c r="E71" s="50">
        <f t="shared" ca="1" si="144"/>
        <v>1164</v>
      </c>
      <c r="F71" s="50">
        <f t="shared" ca="1" si="144"/>
        <v>1225</v>
      </c>
      <c r="G71" s="50">
        <f t="shared" ca="1" si="144"/>
        <v>1289</v>
      </c>
      <c r="H71" s="50">
        <f t="shared" ca="1" si="144"/>
        <v>1351</v>
      </c>
      <c r="I71" s="50">
        <f t="shared" ca="1" si="144"/>
        <v>1416</v>
      </c>
      <c r="J71" s="50">
        <f t="shared" ca="1" si="144"/>
        <v>1484</v>
      </c>
      <c r="K71" s="50">
        <f t="shared" ca="1" si="144"/>
        <v>1555</v>
      </c>
      <c r="L71" s="50">
        <f t="shared" ca="1" si="144"/>
        <v>1630</v>
      </c>
      <c r="M71" s="51">
        <f t="shared" ca="1" si="144"/>
        <v>1708</v>
      </c>
      <c r="N71" s="51">
        <f t="shared" ca="1" si="144"/>
        <v>2606</v>
      </c>
      <c r="O71" s="51">
        <f t="shared" ca="1" si="144"/>
        <v>4168</v>
      </c>
      <c r="P71" s="51">
        <f t="shared" ca="1" si="144"/>
        <v>4168</v>
      </c>
    </row>
    <row r="74" spans="1:16" x14ac:dyDescent="0.25">
      <c r="A74" s="92" t="s">
        <v>71</v>
      </c>
      <c r="B74" s="35" t="str">
        <f>VLOOKUP(A74,General!$B$9:$C$23,2,FALSE)</f>
        <v>Ghana</v>
      </c>
      <c r="O74" t="str">
        <f ca="1">C77&amp;" "&amp;D77&amp;" "&amp;E77&amp;" "&amp;F77&amp;" "&amp;G77&amp;" "&amp;H77&amp;" "&amp;I77&amp;" "&amp;J77&amp;" "&amp;K77&amp;" "&amp;L77&amp;" "&amp;M77&amp;" "&amp;C79&amp;" "&amp;D79&amp;" "&amp;E79&amp;" "&amp;F79&amp;" "&amp;G79&amp;" "&amp;H79&amp;" "&amp;I79&amp;" "&amp;J79&amp;" "&amp;K79&amp;" "&amp;L79&amp;" "&amp;M79&amp;" "&amp;N79&amp;" "&amp;O79&amp;" "&amp;P79</f>
        <v>812 950 1011 1076 1141 1211 1286 1365 1450 1540 1636 1738 1846 1962 2085 2215 2355 2504 2662 2831 3009 3199 5553 10245 10245</v>
      </c>
    </row>
    <row r="75" spans="1:16" ht="15.75" thickBot="1" x14ac:dyDescent="0.3">
      <c r="B75" s="34" t="s">
        <v>19</v>
      </c>
    </row>
    <row r="76" spans="1:16" ht="15.75" thickTop="1" x14ac:dyDescent="0.25">
      <c r="B76" s="31" t="s">
        <v>17</v>
      </c>
      <c r="C76" s="46">
        <v>2010</v>
      </c>
      <c r="D76" s="47">
        <f>C76+1</f>
        <v>2011</v>
      </c>
      <c r="E76" s="47">
        <f t="shared" ref="E76" si="145">D76+1</f>
        <v>2012</v>
      </c>
      <c r="F76" s="47">
        <f t="shared" ref="F76" si="146">E76+1</f>
        <v>2013</v>
      </c>
      <c r="G76" s="47">
        <f t="shared" ref="G76" si="147">F76+1</f>
        <v>2014</v>
      </c>
      <c r="H76" s="47">
        <f t="shared" ref="H76" si="148">G76+1</f>
        <v>2015</v>
      </c>
      <c r="I76" s="47">
        <f t="shared" ref="I76" si="149">H76+1</f>
        <v>2016</v>
      </c>
      <c r="J76" s="47">
        <f t="shared" ref="J76" si="150">I76+1</f>
        <v>2017</v>
      </c>
      <c r="K76" s="47">
        <f t="shared" ref="K76" si="151">J76+1</f>
        <v>2018</v>
      </c>
      <c r="L76" s="47">
        <f t="shared" ref="L76" si="152">K76+1</f>
        <v>2019</v>
      </c>
      <c r="M76" s="48">
        <f t="shared" ref="M76" si="153">L76+1</f>
        <v>2020</v>
      </c>
    </row>
    <row r="77" spans="1:16" x14ac:dyDescent="0.25">
      <c r="B77" s="32" t="s">
        <v>18</v>
      </c>
      <c r="C77" s="49">
        <f t="shared" ref="C77:M77" ca="1" si="154">ROUND(OFFSET(INDIRECT($A74&amp;"!C$5"),0,C$2)/8.76,0)</f>
        <v>812</v>
      </c>
      <c r="D77" s="50">
        <f t="shared" ca="1" si="154"/>
        <v>950</v>
      </c>
      <c r="E77" s="50">
        <f t="shared" ca="1" si="154"/>
        <v>1011</v>
      </c>
      <c r="F77" s="50">
        <f t="shared" ca="1" si="154"/>
        <v>1076</v>
      </c>
      <c r="G77" s="50">
        <f t="shared" ca="1" si="154"/>
        <v>1141</v>
      </c>
      <c r="H77" s="50">
        <f t="shared" ca="1" si="154"/>
        <v>1211</v>
      </c>
      <c r="I77" s="50">
        <f t="shared" ca="1" si="154"/>
        <v>1286</v>
      </c>
      <c r="J77" s="50">
        <f t="shared" ca="1" si="154"/>
        <v>1365</v>
      </c>
      <c r="K77" s="50">
        <f t="shared" ca="1" si="154"/>
        <v>1450</v>
      </c>
      <c r="L77" s="50">
        <f t="shared" ca="1" si="154"/>
        <v>1540</v>
      </c>
      <c r="M77" s="51">
        <f t="shared" ca="1" si="154"/>
        <v>1636</v>
      </c>
    </row>
    <row r="78" spans="1:16" x14ac:dyDescent="0.25">
      <c r="B78" s="33" t="s">
        <v>17</v>
      </c>
      <c r="C78" s="46">
        <f>M76+1</f>
        <v>2021</v>
      </c>
      <c r="D78" s="47">
        <f>C78+1</f>
        <v>2022</v>
      </c>
      <c r="E78" s="47">
        <f t="shared" ref="E78" si="155">D78+1</f>
        <v>2023</v>
      </c>
      <c r="F78" s="47">
        <f t="shared" ref="F78" si="156">E78+1</f>
        <v>2024</v>
      </c>
      <c r="G78" s="47">
        <f t="shared" ref="G78" si="157">F78+1</f>
        <v>2025</v>
      </c>
      <c r="H78" s="47">
        <f t="shared" ref="H78" si="158">G78+1</f>
        <v>2026</v>
      </c>
      <c r="I78" s="47">
        <f>H78+1</f>
        <v>2027</v>
      </c>
      <c r="J78" s="47">
        <f t="shared" ref="J78" si="159">I78+1</f>
        <v>2028</v>
      </c>
      <c r="K78" s="47">
        <f t="shared" ref="K78" si="160">J78+1</f>
        <v>2029</v>
      </c>
      <c r="L78" s="47">
        <f>K78+1</f>
        <v>2030</v>
      </c>
      <c r="M78" s="48">
        <f t="shared" ref="M78" si="161">L78+1</f>
        <v>2031</v>
      </c>
      <c r="N78">
        <v>2040</v>
      </c>
      <c r="O78">
        <v>2050</v>
      </c>
      <c r="P78">
        <v>2060</v>
      </c>
    </row>
    <row r="79" spans="1:16" x14ac:dyDescent="0.25">
      <c r="B79" s="32" t="s">
        <v>18</v>
      </c>
      <c r="C79" s="49">
        <f ca="1">ROUND(OFFSET(INDIRECT($A74&amp;"!n$5"),0,C$2)/8.76,0)</f>
        <v>1738</v>
      </c>
      <c r="D79" s="50">
        <f t="shared" ref="D79:P79" ca="1" si="162">ROUND(OFFSET(INDIRECT($A74&amp;"!n$5"),0,D$2)/8.76,0)</f>
        <v>1846</v>
      </c>
      <c r="E79" s="50">
        <f t="shared" ca="1" si="162"/>
        <v>1962</v>
      </c>
      <c r="F79" s="50">
        <f t="shared" ca="1" si="162"/>
        <v>2085</v>
      </c>
      <c r="G79" s="50">
        <f t="shared" ca="1" si="162"/>
        <v>2215</v>
      </c>
      <c r="H79" s="50">
        <f t="shared" ca="1" si="162"/>
        <v>2355</v>
      </c>
      <c r="I79" s="50">
        <f t="shared" ca="1" si="162"/>
        <v>2504</v>
      </c>
      <c r="J79" s="50">
        <f t="shared" ca="1" si="162"/>
        <v>2662</v>
      </c>
      <c r="K79" s="50">
        <f t="shared" ca="1" si="162"/>
        <v>2831</v>
      </c>
      <c r="L79" s="50">
        <f t="shared" ca="1" si="162"/>
        <v>3009</v>
      </c>
      <c r="M79" s="51">
        <f t="shared" ca="1" si="162"/>
        <v>3199</v>
      </c>
      <c r="N79" s="51">
        <f t="shared" ca="1" si="162"/>
        <v>5553</v>
      </c>
      <c r="O79" s="51">
        <f t="shared" ca="1" si="162"/>
        <v>10245</v>
      </c>
      <c r="P79" s="51">
        <f t="shared" ca="1" si="162"/>
        <v>10245</v>
      </c>
    </row>
    <row r="83" spans="1:16" x14ac:dyDescent="0.25">
      <c r="A83" s="92" t="s">
        <v>197</v>
      </c>
      <c r="B83" s="35" t="str">
        <f>VLOOKUP(A83,General!$B$9:$C$23,2,FALSE)</f>
        <v>Benin et Togo</v>
      </c>
      <c r="O83" t="str">
        <f ca="1">C86&amp;" "&amp;D86&amp;" "&amp;E86&amp;" "&amp;F86&amp;" "&amp;G86&amp;" "&amp;H86&amp;" "&amp;I86&amp;" "&amp;J86&amp;" "&amp;K86&amp;" "&amp;L86&amp;" "&amp;M86&amp;" "&amp;C88&amp;" "&amp;D88&amp;" "&amp;E88&amp;" "&amp;F88&amp;" "&amp;G88&amp;" "&amp;H88&amp;" "&amp;I88&amp;" "&amp;J88&amp;" "&amp;K88&amp;" "&amp;L88&amp;" "&amp;M88&amp;" "&amp;N88&amp;" "&amp;O88&amp;" "&amp;P88</f>
        <v>202 231 268 291 317 344 373 403 435 468 503 540 579 621 664 710 754 802 852 905 962 1023 1769 3253 3253</v>
      </c>
    </row>
    <row r="84" spans="1:16" ht="15.75" thickBot="1" x14ac:dyDescent="0.3">
      <c r="B84" s="34" t="s">
        <v>19</v>
      </c>
    </row>
    <row r="85" spans="1:16" ht="15.75" thickTop="1" x14ac:dyDescent="0.25">
      <c r="B85" s="31" t="s">
        <v>17</v>
      </c>
      <c r="C85" s="46">
        <v>2010</v>
      </c>
      <c r="D85" s="47">
        <f>C85+1</f>
        <v>2011</v>
      </c>
      <c r="E85" s="47">
        <f t="shared" ref="E85" si="163">D85+1</f>
        <v>2012</v>
      </c>
      <c r="F85" s="47">
        <f t="shared" ref="F85" si="164">E85+1</f>
        <v>2013</v>
      </c>
      <c r="G85" s="47">
        <f t="shared" ref="G85" si="165">F85+1</f>
        <v>2014</v>
      </c>
      <c r="H85" s="47">
        <f t="shared" ref="H85" si="166">G85+1</f>
        <v>2015</v>
      </c>
      <c r="I85" s="47">
        <f t="shared" ref="I85" si="167">H85+1</f>
        <v>2016</v>
      </c>
      <c r="J85" s="47">
        <f t="shared" ref="J85" si="168">I85+1</f>
        <v>2017</v>
      </c>
      <c r="K85" s="47">
        <f t="shared" ref="K85" si="169">J85+1</f>
        <v>2018</v>
      </c>
      <c r="L85" s="47">
        <f t="shared" ref="L85" si="170">K85+1</f>
        <v>2019</v>
      </c>
      <c r="M85" s="48">
        <f t="shared" ref="M85" si="171">L85+1</f>
        <v>2020</v>
      </c>
    </row>
    <row r="86" spans="1:16" x14ac:dyDescent="0.25">
      <c r="B86" s="32" t="s">
        <v>18</v>
      </c>
      <c r="C86" s="49">
        <f t="shared" ref="C86:M86" ca="1" si="172">ROUND(OFFSET(INDIRECT($A83&amp;"!C$5"),0,C$2)/8.76,0)</f>
        <v>202</v>
      </c>
      <c r="D86" s="50">
        <f t="shared" ca="1" si="172"/>
        <v>231</v>
      </c>
      <c r="E86" s="50">
        <f t="shared" ca="1" si="172"/>
        <v>268</v>
      </c>
      <c r="F86" s="50">
        <f t="shared" ca="1" si="172"/>
        <v>291</v>
      </c>
      <c r="G86" s="50">
        <f t="shared" ca="1" si="172"/>
        <v>317</v>
      </c>
      <c r="H86" s="50">
        <f t="shared" ca="1" si="172"/>
        <v>344</v>
      </c>
      <c r="I86" s="50">
        <f t="shared" ca="1" si="172"/>
        <v>373</v>
      </c>
      <c r="J86" s="50">
        <f t="shared" ca="1" si="172"/>
        <v>403</v>
      </c>
      <c r="K86" s="50">
        <f t="shared" ca="1" si="172"/>
        <v>435</v>
      </c>
      <c r="L86" s="50">
        <f t="shared" ca="1" si="172"/>
        <v>468</v>
      </c>
      <c r="M86" s="51">
        <f t="shared" ca="1" si="172"/>
        <v>503</v>
      </c>
    </row>
    <row r="87" spans="1:16" x14ac:dyDescent="0.25">
      <c r="B87" s="33" t="s">
        <v>17</v>
      </c>
      <c r="C87" s="46">
        <f>M85+1</f>
        <v>2021</v>
      </c>
      <c r="D87" s="47">
        <f>C87+1</f>
        <v>2022</v>
      </c>
      <c r="E87" s="47">
        <f t="shared" ref="E87" si="173">D87+1</f>
        <v>2023</v>
      </c>
      <c r="F87" s="47">
        <f t="shared" ref="F87" si="174">E87+1</f>
        <v>2024</v>
      </c>
      <c r="G87" s="47">
        <f t="shared" ref="G87" si="175">F87+1</f>
        <v>2025</v>
      </c>
      <c r="H87" s="47">
        <f t="shared" ref="H87" si="176">G87+1</f>
        <v>2026</v>
      </c>
      <c r="I87" s="47">
        <f>H87+1</f>
        <v>2027</v>
      </c>
      <c r="J87" s="47">
        <f t="shared" ref="J87" si="177">I87+1</f>
        <v>2028</v>
      </c>
      <c r="K87" s="47">
        <f t="shared" ref="K87" si="178">J87+1</f>
        <v>2029</v>
      </c>
      <c r="L87" s="47">
        <f>K87+1</f>
        <v>2030</v>
      </c>
      <c r="M87" s="48">
        <f t="shared" ref="M87" si="179">L87+1</f>
        <v>2031</v>
      </c>
      <c r="N87">
        <v>2040</v>
      </c>
      <c r="O87">
        <v>2050</v>
      </c>
      <c r="P87">
        <v>2060</v>
      </c>
    </row>
    <row r="88" spans="1:16" x14ac:dyDescent="0.25">
      <c r="B88" s="32" t="s">
        <v>18</v>
      </c>
      <c r="C88" s="49">
        <f ca="1">ROUND(OFFSET(INDIRECT($A83&amp;"!n$5"),0,C$2)/8.76,0)</f>
        <v>540</v>
      </c>
      <c r="D88" s="50">
        <f t="shared" ref="D88:P88" ca="1" si="180">ROUND(OFFSET(INDIRECT($A83&amp;"!n$5"),0,D$2)/8.76,0)</f>
        <v>579</v>
      </c>
      <c r="E88" s="50">
        <f t="shared" ca="1" si="180"/>
        <v>621</v>
      </c>
      <c r="F88" s="50">
        <f t="shared" ca="1" si="180"/>
        <v>664</v>
      </c>
      <c r="G88" s="50">
        <f t="shared" ca="1" si="180"/>
        <v>710</v>
      </c>
      <c r="H88" s="50">
        <f t="shared" ca="1" si="180"/>
        <v>754</v>
      </c>
      <c r="I88" s="50">
        <f t="shared" ca="1" si="180"/>
        <v>802</v>
      </c>
      <c r="J88" s="50">
        <f t="shared" ca="1" si="180"/>
        <v>852</v>
      </c>
      <c r="K88" s="50">
        <f t="shared" ca="1" si="180"/>
        <v>905</v>
      </c>
      <c r="L88" s="50">
        <f t="shared" ca="1" si="180"/>
        <v>962</v>
      </c>
      <c r="M88" s="51">
        <f t="shared" ca="1" si="180"/>
        <v>1023</v>
      </c>
      <c r="N88" s="51">
        <f t="shared" ca="1" si="180"/>
        <v>1769</v>
      </c>
      <c r="O88" s="51">
        <f t="shared" ca="1" si="180"/>
        <v>3253</v>
      </c>
      <c r="P88" s="51">
        <f t="shared" ca="1" si="180"/>
        <v>3253</v>
      </c>
    </row>
    <row r="92" spans="1:16" x14ac:dyDescent="0.25">
      <c r="A92" s="92" t="s">
        <v>64</v>
      </c>
      <c r="B92" s="35" t="str">
        <f>VLOOKUP(A92,General!$B$9:$C$23,2,FALSE)</f>
        <v>Burkina</v>
      </c>
      <c r="O92" t="str">
        <f ca="1">C95&amp;" "&amp;D95&amp;" "&amp;E95&amp;" "&amp;F95&amp;" "&amp;G95&amp;" "&amp;H95&amp;" "&amp;I95&amp;" "&amp;J95&amp;" "&amp;K95&amp;" "&amp;L95&amp;" "&amp;M95&amp;" "&amp;C97&amp;" "&amp;D97&amp;" "&amp;E97&amp;" "&amp;F97&amp;" "&amp;G97&amp;" "&amp;H97&amp;" "&amp;I97&amp;" "&amp;J97&amp;" "&amp;K97&amp;" "&amp;L97&amp;" "&amp;M97&amp;" "&amp;N97&amp;" "&amp;O97&amp;" "&amp;P97</f>
        <v>83 85 91 98 105 114 123 132 142 153 164 177 190 203 218 234 250 267 285 305 326 348 633 1230 1230</v>
      </c>
    </row>
    <row r="93" spans="1:16" ht="15.75" thickBot="1" x14ac:dyDescent="0.3">
      <c r="B93" s="34" t="s">
        <v>19</v>
      </c>
    </row>
    <row r="94" spans="1:16" ht="15.75" thickTop="1" x14ac:dyDescent="0.25">
      <c r="B94" s="31" t="s">
        <v>17</v>
      </c>
      <c r="C94" s="46">
        <v>2010</v>
      </c>
      <c r="D94" s="47">
        <f>C94+1</f>
        <v>2011</v>
      </c>
      <c r="E94" s="47">
        <f t="shared" ref="E94" si="181">D94+1</f>
        <v>2012</v>
      </c>
      <c r="F94" s="47">
        <f t="shared" ref="F94" si="182">E94+1</f>
        <v>2013</v>
      </c>
      <c r="G94" s="47">
        <f t="shared" ref="G94" si="183">F94+1</f>
        <v>2014</v>
      </c>
      <c r="H94" s="47">
        <f t="shared" ref="H94" si="184">G94+1</f>
        <v>2015</v>
      </c>
      <c r="I94" s="47">
        <f t="shared" ref="I94" si="185">H94+1</f>
        <v>2016</v>
      </c>
      <c r="J94" s="47">
        <f t="shared" ref="J94" si="186">I94+1</f>
        <v>2017</v>
      </c>
      <c r="K94" s="47">
        <f t="shared" ref="K94" si="187">J94+1</f>
        <v>2018</v>
      </c>
      <c r="L94" s="47">
        <f t="shared" ref="L94" si="188">K94+1</f>
        <v>2019</v>
      </c>
      <c r="M94" s="48">
        <f t="shared" ref="M94" si="189">L94+1</f>
        <v>2020</v>
      </c>
    </row>
    <row r="95" spans="1:16" x14ac:dyDescent="0.25">
      <c r="B95" s="32" t="s">
        <v>18</v>
      </c>
      <c r="C95" s="49">
        <f t="shared" ref="C95:M95" ca="1" si="190">ROUND(OFFSET(INDIRECT($A92&amp;"!C$5"),0,C$2)/8.76,0)</f>
        <v>83</v>
      </c>
      <c r="D95" s="50">
        <f t="shared" ca="1" si="190"/>
        <v>85</v>
      </c>
      <c r="E95" s="50">
        <f t="shared" ca="1" si="190"/>
        <v>91</v>
      </c>
      <c r="F95" s="50">
        <f t="shared" ca="1" si="190"/>
        <v>98</v>
      </c>
      <c r="G95" s="50">
        <f t="shared" ca="1" si="190"/>
        <v>105</v>
      </c>
      <c r="H95" s="50">
        <f t="shared" ca="1" si="190"/>
        <v>114</v>
      </c>
      <c r="I95" s="50">
        <f t="shared" ca="1" si="190"/>
        <v>123</v>
      </c>
      <c r="J95" s="50">
        <f t="shared" ca="1" si="190"/>
        <v>132</v>
      </c>
      <c r="K95" s="50">
        <f t="shared" ca="1" si="190"/>
        <v>142</v>
      </c>
      <c r="L95" s="50">
        <f t="shared" ca="1" si="190"/>
        <v>153</v>
      </c>
      <c r="M95" s="51">
        <f t="shared" ca="1" si="190"/>
        <v>164</v>
      </c>
    </row>
    <row r="96" spans="1:16" x14ac:dyDescent="0.25">
      <c r="B96" s="33" t="s">
        <v>17</v>
      </c>
      <c r="C96" s="46">
        <f>M94+1</f>
        <v>2021</v>
      </c>
      <c r="D96" s="47">
        <f>C96+1</f>
        <v>2022</v>
      </c>
      <c r="E96" s="47">
        <f t="shared" ref="E96" si="191">D96+1</f>
        <v>2023</v>
      </c>
      <c r="F96" s="47">
        <f t="shared" ref="F96" si="192">E96+1</f>
        <v>2024</v>
      </c>
      <c r="G96" s="47">
        <f t="shared" ref="G96" si="193">F96+1</f>
        <v>2025</v>
      </c>
      <c r="H96" s="47">
        <f t="shared" ref="H96" si="194">G96+1</f>
        <v>2026</v>
      </c>
      <c r="I96" s="47">
        <f>H96+1</f>
        <v>2027</v>
      </c>
      <c r="J96" s="47">
        <f t="shared" ref="J96" si="195">I96+1</f>
        <v>2028</v>
      </c>
      <c r="K96" s="47">
        <f t="shared" ref="K96" si="196">J96+1</f>
        <v>2029</v>
      </c>
      <c r="L96" s="47">
        <f>K96+1</f>
        <v>2030</v>
      </c>
      <c r="M96" s="48">
        <f t="shared" ref="M96" si="197">L96+1</f>
        <v>2031</v>
      </c>
      <c r="N96">
        <v>2040</v>
      </c>
      <c r="O96">
        <v>2050</v>
      </c>
      <c r="P96">
        <v>2060</v>
      </c>
    </row>
    <row r="97" spans="1:16" x14ac:dyDescent="0.25">
      <c r="B97" s="32" t="s">
        <v>18</v>
      </c>
      <c r="C97" s="49">
        <f ca="1">ROUND(OFFSET(INDIRECT($A92&amp;"!n$5"),0,C$2)/8.76,0)</f>
        <v>177</v>
      </c>
      <c r="D97" s="50">
        <f t="shared" ref="D97:P97" ca="1" si="198">ROUND(OFFSET(INDIRECT($A92&amp;"!n$5"),0,D$2)/8.76,0)</f>
        <v>190</v>
      </c>
      <c r="E97" s="50">
        <f t="shared" ca="1" si="198"/>
        <v>203</v>
      </c>
      <c r="F97" s="50">
        <f t="shared" ca="1" si="198"/>
        <v>218</v>
      </c>
      <c r="G97" s="50">
        <f t="shared" ca="1" si="198"/>
        <v>234</v>
      </c>
      <c r="H97" s="50">
        <f t="shared" ca="1" si="198"/>
        <v>250</v>
      </c>
      <c r="I97" s="50">
        <f t="shared" ca="1" si="198"/>
        <v>267</v>
      </c>
      <c r="J97" s="50">
        <f t="shared" ca="1" si="198"/>
        <v>285</v>
      </c>
      <c r="K97" s="50">
        <f t="shared" ca="1" si="198"/>
        <v>305</v>
      </c>
      <c r="L97" s="50">
        <f t="shared" ca="1" si="198"/>
        <v>326</v>
      </c>
      <c r="M97" s="51">
        <f t="shared" ca="1" si="198"/>
        <v>348</v>
      </c>
      <c r="N97" s="51">
        <f t="shared" ca="1" si="198"/>
        <v>633</v>
      </c>
      <c r="O97" s="51">
        <f t="shared" ca="1" si="198"/>
        <v>1230</v>
      </c>
      <c r="P97" s="51">
        <f t="shared" ca="1" si="198"/>
        <v>1230</v>
      </c>
    </row>
    <row r="101" spans="1:16" x14ac:dyDescent="0.25">
      <c r="A101" s="92" t="s">
        <v>80</v>
      </c>
      <c r="B101" s="35" t="str">
        <f>VLOOKUP(A101,General!$B$9:$C$23,2,FALSE)</f>
        <v>Niger</v>
      </c>
      <c r="O101" t="str">
        <f ca="1">C104&amp;" "&amp;D104&amp;" "&amp;E104&amp;" "&amp;F104&amp;" "&amp;G104&amp;" "&amp;H104&amp;" "&amp;I104&amp;" "&amp;J104&amp;" "&amp;K104&amp;" "&amp;L104&amp;" "&amp;M104&amp;" "&amp;C106&amp;" "&amp;D106&amp;" "&amp;E106&amp;" "&amp;F106&amp;" "&amp;G106&amp;" "&amp;H106&amp;" "&amp;I106&amp;" "&amp;J106&amp;" "&amp;K106&amp;" "&amp;L106&amp;" "&amp;M106&amp;" "&amp;N106&amp;" "&amp;O106&amp;" "&amp;P106</f>
        <v>81 82 88 95 101 120 127 134 141 148 156 164 172 180 189 198 206 215 223 233 242 252 363 544 544</v>
      </c>
    </row>
    <row r="102" spans="1:16" ht="15.75" thickBot="1" x14ac:dyDescent="0.3">
      <c r="B102" s="34" t="s">
        <v>19</v>
      </c>
    </row>
    <row r="103" spans="1:16" ht="15.75" thickTop="1" x14ac:dyDescent="0.25">
      <c r="B103" s="31" t="s">
        <v>17</v>
      </c>
      <c r="C103" s="46">
        <v>2010</v>
      </c>
      <c r="D103" s="47">
        <f>C103+1</f>
        <v>2011</v>
      </c>
      <c r="E103" s="47">
        <f t="shared" ref="E103" si="199">D103+1</f>
        <v>2012</v>
      </c>
      <c r="F103" s="47">
        <f t="shared" ref="F103" si="200">E103+1</f>
        <v>2013</v>
      </c>
      <c r="G103" s="47">
        <f t="shared" ref="G103" si="201">F103+1</f>
        <v>2014</v>
      </c>
      <c r="H103" s="47">
        <f t="shared" ref="H103" si="202">G103+1</f>
        <v>2015</v>
      </c>
      <c r="I103" s="47">
        <f t="shared" ref="I103" si="203">H103+1</f>
        <v>2016</v>
      </c>
      <c r="J103" s="47">
        <f t="shared" ref="J103" si="204">I103+1</f>
        <v>2017</v>
      </c>
      <c r="K103" s="47">
        <f t="shared" ref="K103" si="205">J103+1</f>
        <v>2018</v>
      </c>
      <c r="L103" s="47">
        <f t="shared" ref="L103" si="206">K103+1</f>
        <v>2019</v>
      </c>
      <c r="M103" s="48">
        <f t="shared" ref="M103" si="207">L103+1</f>
        <v>2020</v>
      </c>
    </row>
    <row r="104" spans="1:16" x14ac:dyDescent="0.25">
      <c r="B104" s="32" t="s">
        <v>18</v>
      </c>
      <c r="C104" s="49">
        <f t="shared" ref="C104:M104" ca="1" si="208">ROUND(OFFSET(INDIRECT($A101&amp;"!C$5"),0,C$2)/8.76,0)</f>
        <v>81</v>
      </c>
      <c r="D104" s="50">
        <f t="shared" ca="1" si="208"/>
        <v>82</v>
      </c>
      <c r="E104" s="50">
        <f t="shared" ca="1" si="208"/>
        <v>88</v>
      </c>
      <c r="F104" s="50">
        <f t="shared" ca="1" si="208"/>
        <v>95</v>
      </c>
      <c r="G104" s="50">
        <f t="shared" ca="1" si="208"/>
        <v>101</v>
      </c>
      <c r="H104" s="50">
        <f t="shared" ca="1" si="208"/>
        <v>120</v>
      </c>
      <c r="I104" s="50">
        <f t="shared" ca="1" si="208"/>
        <v>127</v>
      </c>
      <c r="J104" s="50">
        <f t="shared" ca="1" si="208"/>
        <v>134</v>
      </c>
      <c r="K104" s="50">
        <f t="shared" ca="1" si="208"/>
        <v>141</v>
      </c>
      <c r="L104" s="50">
        <f t="shared" ca="1" si="208"/>
        <v>148</v>
      </c>
      <c r="M104" s="51">
        <f t="shared" ca="1" si="208"/>
        <v>156</v>
      </c>
    </row>
    <row r="105" spans="1:16" x14ac:dyDescent="0.25">
      <c r="B105" s="33" t="s">
        <v>17</v>
      </c>
      <c r="C105" s="46">
        <f>M103+1</f>
        <v>2021</v>
      </c>
      <c r="D105" s="47">
        <f>C105+1</f>
        <v>2022</v>
      </c>
      <c r="E105" s="47">
        <f t="shared" ref="E105" si="209">D105+1</f>
        <v>2023</v>
      </c>
      <c r="F105" s="47">
        <f t="shared" ref="F105" si="210">E105+1</f>
        <v>2024</v>
      </c>
      <c r="G105" s="47">
        <f t="shared" ref="G105" si="211">F105+1</f>
        <v>2025</v>
      </c>
      <c r="H105" s="47">
        <f t="shared" ref="H105" si="212">G105+1</f>
        <v>2026</v>
      </c>
      <c r="I105" s="47">
        <f>H105+1</f>
        <v>2027</v>
      </c>
      <c r="J105" s="47">
        <f t="shared" ref="J105" si="213">I105+1</f>
        <v>2028</v>
      </c>
      <c r="K105" s="47">
        <f t="shared" ref="K105" si="214">J105+1</f>
        <v>2029</v>
      </c>
      <c r="L105" s="47">
        <f>K105+1</f>
        <v>2030</v>
      </c>
      <c r="M105" s="48">
        <f t="shared" ref="M105" si="215">L105+1</f>
        <v>2031</v>
      </c>
      <c r="N105">
        <v>2040</v>
      </c>
      <c r="O105">
        <v>2050</v>
      </c>
      <c r="P105">
        <v>2060</v>
      </c>
    </row>
    <row r="106" spans="1:16" x14ac:dyDescent="0.25">
      <c r="B106" s="32" t="s">
        <v>18</v>
      </c>
      <c r="C106" s="49">
        <f ca="1">ROUND(OFFSET(INDIRECT($A101&amp;"!n$5"),0,C$2)/8.76,0)</f>
        <v>164</v>
      </c>
      <c r="D106" s="50">
        <f t="shared" ref="D106:P106" ca="1" si="216">ROUND(OFFSET(INDIRECT($A101&amp;"!n$5"),0,D$2)/8.76,0)</f>
        <v>172</v>
      </c>
      <c r="E106" s="50">
        <f t="shared" ca="1" si="216"/>
        <v>180</v>
      </c>
      <c r="F106" s="50">
        <f t="shared" ca="1" si="216"/>
        <v>189</v>
      </c>
      <c r="G106" s="50">
        <f t="shared" ca="1" si="216"/>
        <v>198</v>
      </c>
      <c r="H106" s="50">
        <f t="shared" ca="1" si="216"/>
        <v>206</v>
      </c>
      <c r="I106" s="50">
        <f t="shared" ca="1" si="216"/>
        <v>215</v>
      </c>
      <c r="J106" s="50">
        <f t="shared" ca="1" si="216"/>
        <v>223</v>
      </c>
      <c r="K106" s="50">
        <f t="shared" ca="1" si="216"/>
        <v>233</v>
      </c>
      <c r="L106" s="50">
        <f t="shared" ca="1" si="216"/>
        <v>242</v>
      </c>
      <c r="M106" s="51">
        <f t="shared" ca="1" si="216"/>
        <v>252</v>
      </c>
      <c r="N106" s="51">
        <f t="shared" ca="1" si="216"/>
        <v>363</v>
      </c>
      <c r="O106" s="51">
        <f t="shared" ca="1" si="216"/>
        <v>544</v>
      </c>
      <c r="P106" s="51">
        <f t="shared" ca="1" si="216"/>
        <v>544</v>
      </c>
    </row>
    <row r="110" spans="1:16" x14ac:dyDescent="0.25">
      <c r="A110" s="92" t="s">
        <v>82</v>
      </c>
      <c r="B110" s="35" t="str">
        <f>VLOOKUP(A110,General!$B$9:$C$23,2,FALSE)</f>
        <v>Nigeria</v>
      </c>
      <c r="O110" t="str">
        <f ca="1">C113&amp;" "&amp;D113&amp;" "&amp;E113&amp;" "&amp;F113&amp;" "&amp;G113&amp;" "&amp;H113&amp;" "&amp;I113&amp;" "&amp;J113&amp;" "&amp;K113&amp;" "&amp;L113&amp;" "&amp;M113&amp;" "&amp;C115&amp;" "&amp;D115&amp;" "&amp;E115&amp;" "&amp;F115&amp;" "&amp;G115&amp;" "&amp;H115&amp;" "&amp;I115&amp;" "&amp;J115&amp;" "&amp;K115&amp;" "&amp;L115&amp;" "&amp;M115&amp;" "&amp;N115&amp;" "&amp;O115&amp;" "&amp;P115</f>
        <v>2249 3794 5635 5950 6304 6679 7076 7496 7943 8414 8915 9580 10150 10753 11393 12070 12568 13086 13625 14187 14771 15380 22123 33133 33133</v>
      </c>
    </row>
    <row r="111" spans="1:16" ht="15.75" thickBot="1" x14ac:dyDescent="0.3">
      <c r="B111" s="34" t="s">
        <v>19</v>
      </c>
    </row>
    <row r="112" spans="1:16" ht="15.75" thickTop="1" x14ac:dyDescent="0.25">
      <c r="B112" s="31" t="s">
        <v>17</v>
      </c>
      <c r="C112" s="46">
        <v>2010</v>
      </c>
      <c r="D112" s="47">
        <f>C112+1</f>
        <v>2011</v>
      </c>
      <c r="E112" s="47">
        <f t="shared" ref="E112" si="217">D112+1</f>
        <v>2012</v>
      </c>
      <c r="F112" s="47">
        <f t="shared" ref="F112" si="218">E112+1</f>
        <v>2013</v>
      </c>
      <c r="G112" s="47">
        <f t="shared" ref="G112" si="219">F112+1</f>
        <v>2014</v>
      </c>
      <c r="H112" s="47">
        <f t="shared" ref="H112" si="220">G112+1</f>
        <v>2015</v>
      </c>
      <c r="I112" s="47">
        <f t="shared" ref="I112" si="221">H112+1</f>
        <v>2016</v>
      </c>
      <c r="J112" s="47">
        <f t="shared" ref="J112" si="222">I112+1</f>
        <v>2017</v>
      </c>
      <c r="K112" s="47">
        <f t="shared" ref="K112" si="223">J112+1</f>
        <v>2018</v>
      </c>
      <c r="L112" s="47">
        <f t="shared" ref="L112" si="224">K112+1</f>
        <v>2019</v>
      </c>
      <c r="M112" s="48">
        <f t="shared" ref="M112" si="225">L112+1</f>
        <v>2020</v>
      </c>
    </row>
    <row r="113" spans="2:16" x14ac:dyDescent="0.25">
      <c r="B113" s="32" t="s">
        <v>18</v>
      </c>
      <c r="C113" s="49">
        <f t="shared" ref="C113:M113" ca="1" si="226">ROUND(OFFSET(INDIRECT($A110&amp;"!C$5"),0,C$2)/8.76,0)</f>
        <v>2249</v>
      </c>
      <c r="D113" s="50">
        <f t="shared" ca="1" si="226"/>
        <v>3794</v>
      </c>
      <c r="E113" s="50">
        <f t="shared" ca="1" si="226"/>
        <v>5635</v>
      </c>
      <c r="F113" s="50">
        <f t="shared" ca="1" si="226"/>
        <v>5950</v>
      </c>
      <c r="G113" s="50">
        <f t="shared" ca="1" si="226"/>
        <v>6304</v>
      </c>
      <c r="H113" s="50">
        <f t="shared" ca="1" si="226"/>
        <v>6679</v>
      </c>
      <c r="I113" s="50">
        <f t="shared" ca="1" si="226"/>
        <v>7076</v>
      </c>
      <c r="J113" s="50">
        <f t="shared" ca="1" si="226"/>
        <v>7496</v>
      </c>
      <c r="K113" s="50">
        <f t="shared" ca="1" si="226"/>
        <v>7943</v>
      </c>
      <c r="L113" s="50">
        <f t="shared" ca="1" si="226"/>
        <v>8414</v>
      </c>
      <c r="M113" s="51">
        <f t="shared" ca="1" si="226"/>
        <v>8915</v>
      </c>
    </row>
    <row r="114" spans="2:16" x14ac:dyDescent="0.25">
      <c r="B114" s="33" t="s">
        <v>17</v>
      </c>
      <c r="C114" s="46">
        <f>M112+1</f>
        <v>2021</v>
      </c>
      <c r="D114" s="47">
        <f>C114+1</f>
        <v>2022</v>
      </c>
      <c r="E114" s="47">
        <f t="shared" ref="E114" si="227">D114+1</f>
        <v>2023</v>
      </c>
      <c r="F114" s="47">
        <f t="shared" ref="F114" si="228">E114+1</f>
        <v>2024</v>
      </c>
      <c r="G114" s="47">
        <f t="shared" ref="G114" si="229">F114+1</f>
        <v>2025</v>
      </c>
      <c r="H114" s="47">
        <f t="shared" ref="H114" si="230">G114+1</f>
        <v>2026</v>
      </c>
      <c r="I114" s="47">
        <f>H114+1</f>
        <v>2027</v>
      </c>
      <c r="J114" s="47">
        <f t="shared" ref="J114" si="231">I114+1</f>
        <v>2028</v>
      </c>
      <c r="K114" s="47">
        <f t="shared" ref="K114" si="232">J114+1</f>
        <v>2029</v>
      </c>
      <c r="L114" s="47">
        <f>K114+1</f>
        <v>2030</v>
      </c>
      <c r="M114" s="48">
        <f t="shared" ref="M114" si="233">L114+1</f>
        <v>2031</v>
      </c>
      <c r="N114">
        <v>2040</v>
      </c>
      <c r="O114">
        <v>2050</v>
      </c>
      <c r="P114">
        <v>2060</v>
      </c>
    </row>
    <row r="115" spans="2:16" x14ac:dyDescent="0.25">
      <c r="B115" s="32" t="s">
        <v>18</v>
      </c>
      <c r="C115" s="49">
        <f ca="1">ROUND(OFFSET(INDIRECT($A110&amp;"!n$5"),0,C$2)/8.76,0)</f>
        <v>9580</v>
      </c>
      <c r="D115" s="50">
        <f t="shared" ref="D115:P115" ca="1" si="234">ROUND(OFFSET(INDIRECT($A110&amp;"!n$5"),0,D$2)/8.76,0)</f>
        <v>10150</v>
      </c>
      <c r="E115" s="50">
        <f t="shared" ca="1" si="234"/>
        <v>10753</v>
      </c>
      <c r="F115" s="50">
        <f t="shared" ca="1" si="234"/>
        <v>11393</v>
      </c>
      <c r="G115" s="50">
        <f t="shared" ca="1" si="234"/>
        <v>12070</v>
      </c>
      <c r="H115" s="50">
        <f t="shared" ca="1" si="234"/>
        <v>12568</v>
      </c>
      <c r="I115" s="50">
        <f t="shared" ca="1" si="234"/>
        <v>13086</v>
      </c>
      <c r="J115" s="50">
        <f t="shared" ca="1" si="234"/>
        <v>13625</v>
      </c>
      <c r="K115" s="50">
        <f t="shared" ca="1" si="234"/>
        <v>14187</v>
      </c>
      <c r="L115" s="50">
        <f t="shared" ca="1" si="234"/>
        <v>14771</v>
      </c>
      <c r="M115" s="51">
        <f t="shared" ca="1" si="234"/>
        <v>15380</v>
      </c>
      <c r="N115" s="51">
        <f t="shared" ca="1" si="234"/>
        <v>22123</v>
      </c>
      <c r="O115" s="51">
        <f t="shared" ca="1" si="234"/>
        <v>33133</v>
      </c>
      <c r="P115" s="51">
        <f t="shared" ca="1" si="234"/>
        <v>33133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A1:R24"/>
  <sheetViews>
    <sheetView workbookViewId="0">
      <selection activeCell="G6" sqref="G6"/>
    </sheetView>
  </sheetViews>
  <sheetFormatPr defaultRowHeight="15" x14ac:dyDescent="0.25"/>
  <cols>
    <col min="1" max="1" width="16.140625" customWidth="1"/>
    <col min="2" max="3" width="17.7109375" customWidth="1"/>
    <col min="4" max="4" width="18.7109375" customWidth="1"/>
    <col min="5" max="5" width="5.5703125" customWidth="1"/>
    <col min="6" max="6" width="5.85546875" customWidth="1"/>
    <col min="8" max="8" width="11.7109375" customWidth="1"/>
    <col min="9" max="9" width="11.5703125" customWidth="1"/>
    <col min="11" max="11" width="17.7109375" customWidth="1"/>
    <col min="12" max="12" width="18.5703125" customWidth="1"/>
    <col min="13" max="13" width="18.7109375" customWidth="1"/>
    <col min="17" max="17" width="11.5703125" customWidth="1"/>
  </cols>
  <sheetData>
    <row r="1" spans="1:18" x14ac:dyDescent="0.25">
      <c r="G1" t="s">
        <v>155</v>
      </c>
      <c r="H1">
        <v>60</v>
      </c>
    </row>
    <row r="4" spans="1:18" ht="39" thickBot="1" x14ac:dyDescent="0.3">
      <c r="A4" t="s">
        <v>84</v>
      </c>
      <c r="B4" s="52" t="str">
        <f>VLOOKUP($A$4,General!$B$9:$C$23,2,FALSE)</f>
        <v>Senegal</v>
      </c>
      <c r="C4" s="33" t="s">
        <v>42</v>
      </c>
      <c r="D4" s="33" t="s">
        <v>43</v>
      </c>
      <c r="E4" s="33" t="s">
        <v>44</v>
      </c>
      <c r="F4" s="31" t="s">
        <v>53</v>
      </c>
      <c r="G4" s="31" t="s">
        <v>45</v>
      </c>
      <c r="H4" s="33" t="s">
        <v>46</v>
      </c>
      <c r="I4" s="54" t="s">
        <v>58</v>
      </c>
      <c r="K4" s="52" t="str">
        <f>VLOOKUP($A$4,General!$B$9:$C$23,2,FALSE)</f>
        <v>Senegal</v>
      </c>
      <c r="L4" s="33" t="s">
        <v>96</v>
      </c>
      <c r="M4" s="33" t="s">
        <v>97</v>
      </c>
      <c r="N4" s="33" t="s">
        <v>104</v>
      </c>
      <c r="O4" s="31" t="s">
        <v>96</v>
      </c>
      <c r="P4" s="31" t="s">
        <v>102</v>
      </c>
      <c r="Q4" s="33" t="s">
        <v>103</v>
      </c>
      <c r="R4" s="54" t="s">
        <v>58</v>
      </c>
    </row>
    <row r="5" spans="1:18" ht="15.75" thickTop="1" x14ac:dyDescent="0.25">
      <c r="B5" s="53" t="s">
        <v>47</v>
      </c>
      <c r="C5" s="53"/>
      <c r="D5" s="53"/>
      <c r="E5" s="53" t="s">
        <v>48</v>
      </c>
      <c r="F5" s="55"/>
      <c r="G5" s="55"/>
      <c r="H5" s="53" t="s">
        <v>49</v>
      </c>
      <c r="I5" s="56" t="s">
        <v>59</v>
      </c>
      <c r="K5" s="53" t="s">
        <v>101</v>
      </c>
      <c r="L5" s="53"/>
      <c r="M5" s="53"/>
      <c r="N5" s="53" t="s">
        <v>48</v>
      </c>
      <c r="O5" s="55"/>
      <c r="P5" s="55"/>
      <c r="Q5" s="53" t="s">
        <v>49</v>
      </c>
      <c r="R5" s="56" t="s">
        <v>59</v>
      </c>
    </row>
    <row r="6" spans="1:18" x14ac:dyDescent="0.25">
      <c r="A6" t="s">
        <v>56</v>
      </c>
      <c r="B6" s="57" t="s">
        <v>57</v>
      </c>
      <c r="C6" s="58" t="s">
        <v>40</v>
      </c>
      <c r="D6" s="58" t="s">
        <v>55</v>
      </c>
      <c r="E6" s="57" t="s">
        <v>54</v>
      </c>
      <c r="F6" s="57">
        <v>1</v>
      </c>
      <c r="G6" s="59">
        <f ca="1">1-INDIRECT($A4&amp;"!c$10")</f>
        <v>0.85</v>
      </c>
      <c r="H6" s="57"/>
      <c r="I6" s="57"/>
      <c r="K6" s="57" t="s">
        <v>57</v>
      </c>
      <c r="L6" s="58" t="s">
        <v>98</v>
      </c>
      <c r="M6" s="58" t="s">
        <v>100</v>
      </c>
      <c r="N6" s="57" t="s">
        <v>54</v>
      </c>
      <c r="O6" s="57">
        <v>1</v>
      </c>
      <c r="P6" s="59">
        <f ca="1">1-INDIRECT($A4&amp;"!c$10")</f>
        <v>0.85</v>
      </c>
      <c r="Q6" s="57"/>
      <c r="R6" s="57"/>
    </row>
    <row r="7" spans="1:18" x14ac:dyDescent="0.25">
      <c r="A7" t="s">
        <v>52</v>
      </c>
      <c r="B7" s="57" t="s">
        <v>51</v>
      </c>
      <c r="C7" s="57"/>
      <c r="D7" s="58" t="s">
        <v>40</v>
      </c>
      <c r="E7" s="57" t="s">
        <v>50</v>
      </c>
      <c r="F7" s="57"/>
      <c r="G7" s="57">
        <v>1</v>
      </c>
      <c r="H7" s="57">
        <f>$H$1</f>
        <v>60</v>
      </c>
      <c r="I7" s="67">
        <f ca="1">ROUND(INDIRECT($A4&amp;"!c$21")/8.76,2)</f>
        <v>0</v>
      </c>
      <c r="K7" s="57" t="s">
        <v>51</v>
      </c>
      <c r="L7" s="57"/>
      <c r="M7" s="58" t="s">
        <v>98</v>
      </c>
      <c r="N7" s="57" t="s">
        <v>50</v>
      </c>
      <c r="O7" s="57"/>
      <c r="P7" s="57">
        <v>1</v>
      </c>
      <c r="Q7" s="57">
        <v>60</v>
      </c>
      <c r="R7" s="67">
        <f ca="1">ROUND(INDIRECT($A4&amp;"!c$20")/8.76,2)</f>
        <v>284.7</v>
      </c>
    </row>
    <row r="8" spans="1:18" x14ac:dyDescent="0.25">
      <c r="A8" s="65" t="s">
        <v>6</v>
      </c>
      <c r="B8" s="60" t="s">
        <v>60</v>
      </c>
      <c r="C8" s="64" t="s">
        <v>40</v>
      </c>
      <c r="D8" s="62" t="s">
        <v>41</v>
      </c>
      <c r="E8" s="63" t="s">
        <v>61</v>
      </c>
      <c r="F8" s="62">
        <v>1</v>
      </c>
      <c r="G8" s="62">
        <v>1</v>
      </c>
      <c r="H8" s="61"/>
      <c r="I8" s="61"/>
      <c r="K8" s="60" t="s">
        <v>60</v>
      </c>
      <c r="L8" s="64" t="s">
        <v>98</v>
      </c>
      <c r="M8" s="62" t="s">
        <v>99</v>
      </c>
      <c r="N8" s="63" t="s">
        <v>61</v>
      </c>
      <c r="O8" s="62">
        <v>1</v>
      </c>
      <c r="P8" s="62">
        <v>1</v>
      </c>
      <c r="Q8" s="61"/>
      <c r="R8" s="61"/>
    </row>
    <row r="10" spans="1:18" x14ac:dyDescent="0.25">
      <c r="G10" t="s">
        <v>155</v>
      </c>
      <c r="H10">
        <v>60</v>
      </c>
    </row>
    <row r="13" spans="1:18" ht="39" thickBot="1" x14ac:dyDescent="0.3">
      <c r="A13" t="s">
        <v>69</v>
      </c>
      <c r="B13" s="52" t="str">
        <f>VLOOKUP($A13,General!$B$9:$C$23,2,FALSE)</f>
        <v>Gambia</v>
      </c>
      <c r="C13" s="33" t="s">
        <v>42</v>
      </c>
      <c r="D13" s="33" t="s">
        <v>43</v>
      </c>
      <c r="E13" s="33" t="s">
        <v>44</v>
      </c>
      <c r="F13" s="31" t="s">
        <v>53</v>
      </c>
      <c r="G13" s="31" t="s">
        <v>45</v>
      </c>
      <c r="H13" s="33" t="s">
        <v>46</v>
      </c>
      <c r="I13" s="54" t="s">
        <v>58</v>
      </c>
      <c r="K13" s="52" t="str">
        <f>VLOOKUP($A13,General!$B$9:$C$23,2,FALSE)</f>
        <v>Gambia</v>
      </c>
      <c r="L13" s="33" t="s">
        <v>96</v>
      </c>
      <c r="M13" s="33" t="s">
        <v>97</v>
      </c>
      <c r="N13" s="33" t="s">
        <v>104</v>
      </c>
      <c r="O13" s="31" t="s">
        <v>96</v>
      </c>
      <c r="P13" s="31" t="s">
        <v>102</v>
      </c>
      <c r="Q13" s="33" t="s">
        <v>103</v>
      </c>
      <c r="R13" s="54" t="s">
        <v>58</v>
      </c>
    </row>
    <row r="14" spans="1:18" ht="15.75" thickTop="1" x14ac:dyDescent="0.25">
      <c r="B14" s="53" t="s">
        <v>47</v>
      </c>
      <c r="C14" s="53"/>
      <c r="D14" s="53"/>
      <c r="E14" s="53" t="s">
        <v>48</v>
      </c>
      <c r="F14" s="55"/>
      <c r="G14" s="55"/>
      <c r="H14" s="53" t="s">
        <v>49</v>
      </c>
      <c r="I14" s="56" t="s">
        <v>59</v>
      </c>
      <c r="K14" s="53" t="s">
        <v>101</v>
      </c>
      <c r="L14" s="53"/>
      <c r="M14" s="53"/>
      <c r="N14" s="53" t="s">
        <v>48</v>
      </c>
      <c r="O14" s="55"/>
      <c r="P14" s="55"/>
      <c r="Q14" s="53" t="s">
        <v>49</v>
      </c>
      <c r="R14" s="56" t="s">
        <v>59</v>
      </c>
    </row>
    <row r="15" spans="1:18" x14ac:dyDescent="0.25">
      <c r="A15" t="s">
        <v>56</v>
      </c>
      <c r="B15" s="57" t="s">
        <v>57</v>
      </c>
      <c r="C15" s="58" t="s">
        <v>40</v>
      </c>
      <c r="D15" s="58" t="s">
        <v>55</v>
      </c>
      <c r="E15" s="57" t="s">
        <v>54</v>
      </c>
      <c r="F15" s="57">
        <v>1</v>
      </c>
      <c r="G15" s="59">
        <f ca="1">1-INDIRECT($A13&amp;"!c$10")</f>
        <v>0.85</v>
      </c>
      <c r="H15" s="57"/>
      <c r="I15" s="57"/>
      <c r="K15" s="57" t="s">
        <v>57</v>
      </c>
      <c r="L15" s="58" t="s">
        <v>98</v>
      </c>
      <c r="M15" s="58" t="s">
        <v>100</v>
      </c>
      <c r="N15" s="57" t="s">
        <v>54</v>
      </c>
      <c r="O15" s="57">
        <v>1</v>
      </c>
      <c r="P15" s="59">
        <f ca="1">1-INDIRECT($A13&amp;"!c$10")</f>
        <v>0.85</v>
      </c>
      <c r="Q15" s="57"/>
      <c r="R15" s="57"/>
    </row>
    <row r="16" spans="1:18" x14ac:dyDescent="0.25">
      <c r="A16" t="s">
        <v>52</v>
      </c>
      <c r="B16" s="57" t="s">
        <v>51</v>
      </c>
      <c r="C16" s="57"/>
      <c r="D16" s="58" t="s">
        <v>40</v>
      </c>
      <c r="E16" s="57" t="s">
        <v>50</v>
      </c>
      <c r="F16" s="57"/>
      <c r="G16" s="57">
        <v>1</v>
      </c>
      <c r="H16" s="57">
        <f>$H$1</f>
        <v>60</v>
      </c>
      <c r="I16" s="67">
        <f ca="1">ROUND(INDIRECT($A13&amp;"!c$21")/8.76,2)</f>
        <v>0</v>
      </c>
      <c r="K16" s="57" t="s">
        <v>51</v>
      </c>
      <c r="L16" s="57"/>
      <c r="M16" s="58" t="s">
        <v>98</v>
      </c>
      <c r="N16" s="57" t="s">
        <v>50</v>
      </c>
      <c r="O16" s="57"/>
      <c r="P16" s="57">
        <v>1</v>
      </c>
      <c r="Q16" s="57">
        <v>60</v>
      </c>
      <c r="R16" s="67">
        <f ca="1">ROUND(INDIRECT($A13&amp;"!c$20")/8.76,2)</f>
        <v>25</v>
      </c>
    </row>
    <row r="17" spans="1:18" x14ac:dyDescent="0.25">
      <c r="A17" s="65" t="s">
        <v>6</v>
      </c>
      <c r="B17" s="60" t="s">
        <v>60</v>
      </c>
      <c r="C17" s="64" t="s">
        <v>40</v>
      </c>
      <c r="D17" s="62" t="s">
        <v>41</v>
      </c>
      <c r="E17" s="63" t="s">
        <v>61</v>
      </c>
      <c r="F17" s="62">
        <v>1</v>
      </c>
      <c r="G17" s="62">
        <v>1</v>
      </c>
      <c r="H17" s="61"/>
      <c r="I17" s="61"/>
      <c r="K17" s="60" t="s">
        <v>60</v>
      </c>
      <c r="L17" s="64" t="s">
        <v>98</v>
      </c>
      <c r="M17" s="62" t="s">
        <v>99</v>
      </c>
      <c r="N17" s="63" t="s">
        <v>61</v>
      </c>
      <c r="O17" s="62">
        <v>1</v>
      </c>
      <c r="P17" s="62">
        <v>1</v>
      </c>
      <c r="Q17" s="61"/>
      <c r="R17" s="61"/>
    </row>
    <row r="20" spans="1:18" ht="39" thickBot="1" x14ac:dyDescent="0.3">
      <c r="A20" t="s">
        <v>75</v>
      </c>
      <c r="B20" s="52" t="str">
        <f>VLOOKUP($A20,General!$B$9:$C$23,2,FALSE)</f>
        <v>Guinea-Bissau</v>
      </c>
      <c r="C20" s="33" t="s">
        <v>42</v>
      </c>
      <c r="D20" s="33" t="s">
        <v>43</v>
      </c>
      <c r="E20" s="33" t="s">
        <v>44</v>
      </c>
      <c r="F20" s="31" t="s">
        <v>53</v>
      </c>
      <c r="G20" s="31" t="s">
        <v>45</v>
      </c>
      <c r="H20" s="33" t="s">
        <v>46</v>
      </c>
      <c r="I20" s="54" t="s">
        <v>58</v>
      </c>
      <c r="K20" s="52" t="str">
        <f>VLOOKUP($A20,General!$B$9:$C$23,2,FALSE)</f>
        <v>Guinea-Bissau</v>
      </c>
      <c r="L20" s="33" t="s">
        <v>96</v>
      </c>
      <c r="M20" s="33" t="s">
        <v>97</v>
      </c>
      <c r="N20" s="33" t="s">
        <v>104</v>
      </c>
      <c r="O20" s="31" t="s">
        <v>96</v>
      </c>
      <c r="P20" s="31" t="s">
        <v>102</v>
      </c>
      <c r="Q20" s="33" t="s">
        <v>103</v>
      </c>
      <c r="R20" s="54" t="s">
        <v>58</v>
      </c>
    </row>
    <row r="21" spans="1:18" ht="15.75" thickTop="1" x14ac:dyDescent="0.25">
      <c r="B21" s="53" t="s">
        <v>47</v>
      </c>
      <c r="C21" s="53"/>
      <c r="D21" s="53"/>
      <c r="E21" s="53" t="s">
        <v>48</v>
      </c>
      <c r="F21" s="55"/>
      <c r="G21" s="55"/>
      <c r="H21" s="53" t="s">
        <v>49</v>
      </c>
      <c r="I21" s="56" t="s">
        <v>59</v>
      </c>
      <c r="K21" s="53" t="s">
        <v>101</v>
      </c>
      <c r="L21" s="53"/>
      <c r="M21" s="53"/>
      <c r="N21" s="53" t="s">
        <v>48</v>
      </c>
      <c r="O21" s="55"/>
      <c r="P21" s="55"/>
      <c r="Q21" s="53" t="s">
        <v>49</v>
      </c>
      <c r="R21" s="56" t="s">
        <v>59</v>
      </c>
    </row>
    <row r="22" spans="1:18" x14ac:dyDescent="0.25">
      <c r="A22" t="s">
        <v>56</v>
      </c>
      <c r="B22" s="57" t="s">
        <v>57</v>
      </c>
      <c r="C22" s="58" t="s">
        <v>40</v>
      </c>
      <c r="D22" s="58" t="s">
        <v>55</v>
      </c>
      <c r="E22" s="57" t="s">
        <v>54</v>
      </c>
      <c r="F22" s="57">
        <v>1</v>
      </c>
      <c r="G22" s="59">
        <f ca="1">1-INDIRECT($A20&amp;"!c$10")</f>
        <v>0.85</v>
      </c>
      <c r="H22" s="57"/>
      <c r="I22" s="57"/>
      <c r="K22" s="57" t="s">
        <v>57</v>
      </c>
      <c r="L22" s="58" t="s">
        <v>98</v>
      </c>
      <c r="M22" s="58" t="s">
        <v>100</v>
      </c>
      <c r="N22" s="57" t="s">
        <v>54</v>
      </c>
      <c r="O22" s="57">
        <v>1</v>
      </c>
      <c r="P22" s="59">
        <f ca="1">1-INDIRECT($A20&amp;"!c$10")</f>
        <v>0.85</v>
      </c>
      <c r="Q22" s="57"/>
      <c r="R22" s="57"/>
    </row>
    <row r="23" spans="1:18" x14ac:dyDescent="0.25">
      <c r="A23" t="s">
        <v>52</v>
      </c>
      <c r="B23" s="57" t="s">
        <v>51</v>
      </c>
      <c r="C23" s="57"/>
      <c r="D23" s="58" t="s">
        <v>40</v>
      </c>
      <c r="E23" s="57" t="s">
        <v>50</v>
      </c>
      <c r="F23" s="57"/>
      <c r="G23" s="57">
        <v>1</v>
      </c>
      <c r="H23" s="57">
        <f>$H$1</f>
        <v>60</v>
      </c>
      <c r="I23" s="67">
        <f ca="1">ROUND(INDIRECT($A20&amp;"!c$21")/8.76,2)</f>
        <v>0</v>
      </c>
      <c r="K23" s="57" t="s">
        <v>51</v>
      </c>
      <c r="L23" s="57"/>
      <c r="M23" s="58" t="s">
        <v>98</v>
      </c>
      <c r="N23" s="57" t="s">
        <v>50</v>
      </c>
      <c r="O23" s="57"/>
      <c r="P23" s="57">
        <v>1</v>
      </c>
      <c r="Q23" s="57">
        <v>60</v>
      </c>
      <c r="R23" s="67">
        <f ca="1">ROUND(INDIRECT($A20&amp;"!c$20")/8.76,2)</f>
        <v>16.100000000000001</v>
      </c>
    </row>
    <row r="24" spans="1:18" x14ac:dyDescent="0.25">
      <c r="A24" s="65" t="s">
        <v>6</v>
      </c>
      <c r="B24" s="60" t="s">
        <v>60</v>
      </c>
      <c r="C24" s="64" t="s">
        <v>40</v>
      </c>
      <c r="D24" s="62" t="s">
        <v>41</v>
      </c>
      <c r="E24" s="63" t="s">
        <v>61</v>
      </c>
      <c r="F24" s="62">
        <v>1</v>
      </c>
      <c r="G24" s="62">
        <v>1</v>
      </c>
      <c r="H24" s="61"/>
      <c r="I24" s="61"/>
      <c r="K24" s="60" t="s">
        <v>60</v>
      </c>
      <c r="L24" s="64" t="s">
        <v>98</v>
      </c>
      <c r="M24" s="62" t="s">
        <v>99</v>
      </c>
      <c r="N24" s="63" t="s">
        <v>61</v>
      </c>
      <c r="O24" s="62">
        <v>1</v>
      </c>
      <c r="P24" s="62">
        <v>1</v>
      </c>
      <c r="Q24" s="61"/>
      <c r="R24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D5" sqref="D5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83</v>
      </c>
      <c r="B2" s="26" t="str">
        <f>VLOOKUP(A2,General!$A$9:$B$23,2,FALSE)</f>
        <v>SEN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6.4153969526864474E-2</v>
      </c>
      <c r="E4" s="27">
        <f t="shared" ref="E4:R4" ca="1" si="1">E42</f>
        <v>0.12697814619442349</v>
      </c>
      <c r="F4" s="27">
        <f t="shared" ca="1" si="1"/>
        <v>5.2156469408224604E-2</v>
      </c>
      <c r="G4" s="27">
        <f t="shared" ca="1" si="1"/>
        <v>5.4655227200508527E-2</v>
      </c>
      <c r="H4" s="27">
        <f t="shared" ca="1" si="1"/>
        <v>0.12805061765592041</v>
      </c>
      <c r="I4" s="27">
        <f t="shared" ca="1" si="1"/>
        <v>0.15144230769230771</v>
      </c>
      <c r="J4" s="27">
        <f t="shared" ca="1" si="1"/>
        <v>5.2192066805845538E-2</v>
      </c>
      <c r="K4" s="27">
        <f t="shared" ca="1" si="1"/>
        <v>5.2469135802469147E-2</v>
      </c>
      <c r="L4" s="27">
        <f t="shared" ca="1" si="1"/>
        <v>5.2785923753665642E-2</v>
      </c>
      <c r="M4" s="27">
        <f t="shared" ca="1" si="1"/>
        <v>5.5710306406685284E-2</v>
      </c>
      <c r="N4" s="27">
        <f t="shared" ca="1" si="1"/>
        <v>5.9932152280437245E-2</v>
      </c>
      <c r="O4" s="27">
        <f t="shared" ca="1" si="1"/>
        <v>5.494310099573263E-2</v>
      </c>
      <c r="P4" s="27">
        <f t="shared" ca="1" si="1"/>
        <v>5.5284004719366342E-2</v>
      </c>
      <c r="Q4" s="27">
        <f t="shared" ca="1" si="1"/>
        <v>5.5901613160836972E-2</v>
      </c>
      <c r="R4" s="27">
        <f t="shared" ca="1" si="1"/>
        <v>5.6269853274844905E-2</v>
      </c>
      <c r="S4" s="17">
        <f ca="1">$W$4</f>
        <v>5.2009884793987382E-2</v>
      </c>
      <c r="T4" s="17">
        <f t="shared" ref="T4:V4" ca="1" si="2">$W$4</f>
        <v>5.2009884793987382E-2</v>
      </c>
      <c r="U4" s="17">
        <f t="shared" ca="1" si="2"/>
        <v>5.2009884793987382E-2</v>
      </c>
      <c r="V4" s="17">
        <f t="shared" ca="1" si="2"/>
        <v>5.2009884793987382E-2</v>
      </c>
      <c r="W4" s="17">
        <f ca="1">SUMIF(SourceData!$AO$3:$BA$3,$B$2,SourceData!$AO$25:$BA$25)</f>
        <v>5.2009884793987382E-2</v>
      </c>
      <c r="X4" s="73">
        <f ca="1">W4</f>
        <v>5.2009884793987382E-2</v>
      </c>
      <c r="Y4" s="17">
        <f ca="1">SUMIF(SourceData!$AO$3:$BA$3,$B$2,SourceData!$AO$27:$BA$27)</f>
        <v>5.2009884793987382E-2</v>
      </c>
      <c r="Z4" s="17">
        <f ca="1">SUMIF(SourceData!$AO$3:$BA$3,$B$2,SourceData!$AO$28:$BA$28)</f>
        <v>5.2009884793987382E-2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2119.9</v>
      </c>
      <c r="D5" s="7">
        <f t="shared" ref="D5:X5" ca="1" si="3">C5*(1+D4)</f>
        <v>2255.9</v>
      </c>
      <c r="E5" s="7">
        <f t="shared" ca="1" si="3"/>
        <v>2542.35</v>
      </c>
      <c r="F5" s="7">
        <f t="shared" ca="1" si="3"/>
        <v>2674.95</v>
      </c>
      <c r="G5" s="7">
        <f t="shared" ca="1" si="3"/>
        <v>2821.15</v>
      </c>
      <c r="H5" s="7">
        <f t="shared" ca="1" si="3"/>
        <v>3182.4</v>
      </c>
      <c r="I5" s="7">
        <f t="shared" ca="1" si="3"/>
        <v>3664.3500000000004</v>
      </c>
      <c r="J5" s="7">
        <f t="shared" ca="1" si="3"/>
        <v>3855.6000000000004</v>
      </c>
      <c r="K5" s="7">
        <f t="shared" ca="1" si="3"/>
        <v>4057.9000000000005</v>
      </c>
      <c r="L5" s="7">
        <f t="shared" ca="1" si="3"/>
        <v>4272.1000000000004</v>
      </c>
      <c r="M5" s="7">
        <f t="shared" ca="1" si="3"/>
        <v>4510.1000000000004</v>
      </c>
      <c r="N5" s="7">
        <f t="shared" ca="1" si="3"/>
        <v>4780.4000000000005</v>
      </c>
      <c r="O5" s="7">
        <f t="shared" ca="1" si="3"/>
        <v>5043.0500000000011</v>
      </c>
      <c r="P5" s="7">
        <f t="shared" ca="1" si="3"/>
        <v>5321.8500000000013</v>
      </c>
      <c r="Q5" s="7">
        <f t="shared" ca="1" si="3"/>
        <v>5619.3500000000013</v>
      </c>
      <c r="R5" s="7">
        <f t="shared" ca="1" si="3"/>
        <v>5935.5500000000011</v>
      </c>
      <c r="S5" s="7">
        <f t="shared" ca="1" si="3"/>
        <v>6244.2572716889526</v>
      </c>
      <c r="T5" s="7">
        <f t="shared" ca="1" si="3"/>
        <v>6569.0203730135127</v>
      </c>
      <c r="U5" s="7">
        <f t="shared" ca="1" si="3"/>
        <v>6910.6743658233017</v>
      </c>
      <c r="V5" s="7">
        <f t="shared" ca="1" si="3"/>
        <v>7270.0977434385331</v>
      </c>
      <c r="W5" s="7">
        <f t="shared" ca="1" si="3"/>
        <v>7648.2146895157985</v>
      </c>
      <c r="X5" s="7">
        <f t="shared" ca="1" si="3"/>
        <v>8045.9974543971975</v>
      </c>
      <c r="Y5" s="7">
        <f ca="1">W5*(1+Y4)^(Y2-W2)</f>
        <v>12698.671114253377</v>
      </c>
      <c r="Z5" s="7">
        <f t="shared" ref="Z5:AA5" ca="1" si="4">Y5*(1+Z4)^(Z2-Y2)</f>
        <v>21084.16860852818</v>
      </c>
      <c r="AA5" s="7">
        <f t="shared" ca="1" si="4"/>
        <v>21084.16860852818</v>
      </c>
    </row>
    <row r="6" spans="1:27" ht="15" x14ac:dyDescent="0.25">
      <c r="A6" s="3" t="s">
        <v>2</v>
      </c>
      <c r="B6" s="5"/>
      <c r="C6" s="10">
        <f ca="1">C5/8.76</f>
        <v>241.99771689497717</v>
      </c>
      <c r="D6" s="10">
        <f ca="1">D5/8.76</f>
        <v>257.52283105022832</v>
      </c>
      <c r="E6" s="10">
        <f t="shared" ref="E6:M6" ca="1" si="5">E5/8.76</f>
        <v>290.22260273972603</v>
      </c>
      <c r="F6" s="10">
        <f t="shared" ca="1" si="5"/>
        <v>305.35958904109589</v>
      </c>
      <c r="G6" s="10">
        <f t="shared" ca="1" si="5"/>
        <v>322.04908675799089</v>
      </c>
      <c r="H6" s="10">
        <f t="shared" ca="1" si="5"/>
        <v>363.28767123287673</v>
      </c>
      <c r="I6" s="10">
        <f t="shared" ca="1" si="5"/>
        <v>418.304794520548</v>
      </c>
      <c r="J6" s="10">
        <f t="shared" ca="1" si="5"/>
        <v>440.13698630136992</v>
      </c>
      <c r="K6" s="10">
        <f t="shared" ca="1" si="5"/>
        <v>463.23059360730599</v>
      </c>
      <c r="L6" s="10">
        <f t="shared" ca="1" si="5"/>
        <v>487.68264840182655</v>
      </c>
      <c r="M6" s="10">
        <f t="shared" ca="1" si="5"/>
        <v>514.85159817351598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6">C7</f>
        <v>0</v>
      </c>
      <c r="E7" s="28">
        <f t="shared" si="6"/>
        <v>0</v>
      </c>
      <c r="F7" s="28">
        <f t="shared" si="6"/>
        <v>0</v>
      </c>
      <c r="G7" s="28">
        <f t="shared" si="6"/>
        <v>0</v>
      </c>
      <c r="H7" s="28">
        <f t="shared" si="6"/>
        <v>0</v>
      </c>
      <c r="I7" s="28">
        <f t="shared" si="6"/>
        <v>0</v>
      </c>
      <c r="J7" s="28">
        <f t="shared" si="6"/>
        <v>0</v>
      </c>
      <c r="K7" s="28">
        <f t="shared" si="6"/>
        <v>0</v>
      </c>
      <c r="L7" s="28">
        <f t="shared" si="6"/>
        <v>0</v>
      </c>
      <c r="M7" s="28">
        <f t="shared" si="6"/>
        <v>0</v>
      </c>
      <c r="N7" s="28">
        <f t="shared" si="6"/>
        <v>0</v>
      </c>
      <c r="O7" s="28">
        <f t="shared" si="6"/>
        <v>0</v>
      </c>
      <c r="P7" s="28">
        <f t="shared" si="6"/>
        <v>0</v>
      </c>
      <c r="Q7" s="28">
        <f t="shared" si="6"/>
        <v>0</v>
      </c>
      <c r="R7" s="28">
        <f t="shared" si="6"/>
        <v>0</v>
      </c>
      <c r="S7" s="28">
        <f t="shared" si="6"/>
        <v>0</v>
      </c>
      <c r="T7" s="28">
        <f t="shared" si="6"/>
        <v>0</v>
      </c>
      <c r="U7" s="28">
        <f t="shared" si="6"/>
        <v>0</v>
      </c>
      <c r="V7" s="28">
        <f t="shared" si="6"/>
        <v>0</v>
      </c>
      <c r="W7" s="28">
        <f t="shared" si="6"/>
        <v>0</v>
      </c>
      <c r="X7" s="28">
        <f t="shared" si="6"/>
        <v>0</v>
      </c>
      <c r="Y7" s="28">
        <f t="shared" si="6"/>
        <v>0</v>
      </c>
      <c r="Z7" s="28">
        <f t="shared" si="6"/>
        <v>0</v>
      </c>
      <c r="AA7" s="28">
        <f t="shared" si="6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7">C5/(1-C7)</f>
        <v>2119.9</v>
      </c>
      <c r="D8" s="8">
        <f t="shared" ca="1" si="7"/>
        <v>2255.9</v>
      </c>
      <c r="E8" s="8">
        <f t="shared" ca="1" si="7"/>
        <v>2542.35</v>
      </c>
      <c r="F8" s="8">
        <f t="shared" ca="1" si="7"/>
        <v>2674.95</v>
      </c>
      <c r="G8" s="8">
        <f t="shared" ca="1" si="7"/>
        <v>2821.15</v>
      </c>
      <c r="H8" s="8">
        <f t="shared" ca="1" si="7"/>
        <v>3182.4</v>
      </c>
      <c r="I8" s="8">
        <f t="shared" ca="1" si="7"/>
        <v>3664.3500000000004</v>
      </c>
      <c r="J8" s="8">
        <f t="shared" ca="1" si="7"/>
        <v>3855.6000000000004</v>
      </c>
      <c r="K8" s="8">
        <f t="shared" ca="1" si="7"/>
        <v>4057.9000000000005</v>
      </c>
      <c r="L8" s="8">
        <f t="shared" ca="1" si="7"/>
        <v>4272.1000000000004</v>
      </c>
      <c r="M8" s="8">
        <f t="shared" ca="1" si="7"/>
        <v>4510.1000000000004</v>
      </c>
      <c r="N8" s="8">
        <f t="shared" ca="1" si="7"/>
        <v>4780.4000000000005</v>
      </c>
      <c r="O8" s="8">
        <f t="shared" ca="1" si="7"/>
        <v>5043.0500000000011</v>
      </c>
      <c r="P8" s="8">
        <f t="shared" ca="1" si="7"/>
        <v>5321.8500000000013</v>
      </c>
      <c r="Q8" s="8">
        <f t="shared" ca="1" si="7"/>
        <v>5619.3500000000013</v>
      </c>
      <c r="R8" s="8">
        <f t="shared" ca="1" si="7"/>
        <v>5935.5500000000011</v>
      </c>
      <c r="S8" s="8">
        <f t="shared" ca="1" si="7"/>
        <v>6244.2572716889526</v>
      </c>
      <c r="T8" s="8">
        <f t="shared" ca="1" si="7"/>
        <v>6569.0203730135127</v>
      </c>
      <c r="U8" s="8">
        <f t="shared" ca="1" si="7"/>
        <v>6910.6743658233017</v>
      </c>
      <c r="V8" s="8">
        <f t="shared" ca="1" si="7"/>
        <v>7270.0977434385331</v>
      </c>
      <c r="W8" s="8">
        <f t="shared" ca="1" si="7"/>
        <v>7648.2146895157985</v>
      </c>
      <c r="X8" s="8">
        <f t="shared" ca="1" si="7"/>
        <v>8045.9974543971975</v>
      </c>
      <c r="Y8" s="8">
        <f t="shared" ca="1" si="7"/>
        <v>12698.671114253377</v>
      </c>
      <c r="Z8" s="8">
        <f t="shared" ca="1" si="7"/>
        <v>21084.16860852818</v>
      </c>
      <c r="AA8" s="8">
        <f t="shared" ca="1" si="7"/>
        <v>21084.16860852818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8">D10</f>
        <v>0.15</v>
      </c>
      <c r="F10" s="27">
        <f t="shared" si="8"/>
        <v>0.15</v>
      </c>
      <c r="G10" s="27">
        <f t="shared" si="8"/>
        <v>0.15</v>
      </c>
      <c r="H10" s="27">
        <f t="shared" si="8"/>
        <v>0.15</v>
      </c>
      <c r="I10" s="27">
        <f t="shared" si="8"/>
        <v>0.15</v>
      </c>
      <c r="J10" s="27">
        <f t="shared" si="8"/>
        <v>0.15</v>
      </c>
      <c r="K10" s="27">
        <f t="shared" si="8"/>
        <v>0.15</v>
      </c>
      <c r="L10" s="27">
        <f t="shared" si="8"/>
        <v>0.15</v>
      </c>
      <c r="M10" s="27">
        <f t="shared" si="8"/>
        <v>0.15</v>
      </c>
      <c r="N10" s="27">
        <f t="shared" si="8"/>
        <v>0.15</v>
      </c>
      <c r="O10" s="27">
        <f t="shared" si="8"/>
        <v>0.15</v>
      </c>
      <c r="P10" s="27">
        <f t="shared" si="8"/>
        <v>0.15</v>
      </c>
      <c r="Q10" s="27">
        <f t="shared" si="8"/>
        <v>0.15</v>
      </c>
      <c r="R10" s="27">
        <f t="shared" si="8"/>
        <v>0.15</v>
      </c>
      <c r="S10" s="27">
        <f t="shared" si="8"/>
        <v>0.15</v>
      </c>
      <c r="T10" s="27">
        <f t="shared" si="8"/>
        <v>0.15</v>
      </c>
      <c r="U10" s="27">
        <f t="shared" si="8"/>
        <v>0.15</v>
      </c>
      <c r="V10" s="27">
        <f t="shared" si="8"/>
        <v>0.15</v>
      </c>
      <c r="W10" s="27">
        <f t="shared" si="8"/>
        <v>0.15</v>
      </c>
      <c r="X10" s="27">
        <f t="shared" si="8"/>
        <v>0.15</v>
      </c>
      <c r="Y10" s="27">
        <f t="shared" si="8"/>
        <v>0.15</v>
      </c>
      <c r="Z10" s="27">
        <f t="shared" si="8"/>
        <v>0.15</v>
      </c>
      <c r="AA10" s="27">
        <f t="shared" si="8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9">C8/(1-C10)</f>
        <v>2494</v>
      </c>
      <c r="D11" s="8">
        <f t="shared" ca="1" si="9"/>
        <v>2654</v>
      </c>
      <c r="E11" s="8">
        <f t="shared" ca="1" si="9"/>
        <v>2991</v>
      </c>
      <c r="F11" s="8">
        <f t="shared" ca="1" si="9"/>
        <v>3147</v>
      </c>
      <c r="G11" s="8">
        <f t="shared" ca="1" si="9"/>
        <v>3319</v>
      </c>
      <c r="H11" s="8">
        <f t="shared" ca="1" si="9"/>
        <v>3744</v>
      </c>
      <c r="I11" s="8">
        <f t="shared" ca="1" si="9"/>
        <v>4311.0000000000009</v>
      </c>
      <c r="J11" s="8">
        <f t="shared" ca="1" si="9"/>
        <v>4536.0000000000009</v>
      </c>
      <c r="K11" s="8">
        <f t="shared" ca="1" si="9"/>
        <v>4774.0000000000009</v>
      </c>
      <c r="L11" s="8">
        <f t="shared" ca="1" si="9"/>
        <v>5026.0000000000009</v>
      </c>
      <c r="M11" s="8">
        <f t="shared" ca="1" si="9"/>
        <v>5306.0000000000009</v>
      </c>
      <c r="N11" s="8">
        <f t="shared" ca="1" si="9"/>
        <v>5624.0000000000009</v>
      </c>
      <c r="O11" s="8">
        <f t="shared" ca="1" si="9"/>
        <v>5933.0000000000018</v>
      </c>
      <c r="P11" s="8">
        <f t="shared" ca="1" si="9"/>
        <v>6261.0000000000018</v>
      </c>
      <c r="Q11" s="8">
        <f t="shared" ca="1" si="9"/>
        <v>6611.0000000000018</v>
      </c>
      <c r="R11" s="8">
        <f t="shared" ca="1" si="9"/>
        <v>6983.0000000000018</v>
      </c>
      <c r="S11" s="8">
        <f t="shared" ca="1" si="9"/>
        <v>7346.1850255164154</v>
      </c>
      <c r="T11" s="8">
        <f t="shared" ca="1" si="9"/>
        <v>7728.2592623688388</v>
      </c>
      <c r="U11" s="8">
        <f t="shared" ca="1" si="9"/>
        <v>8130.205136262708</v>
      </c>
      <c r="V11" s="8">
        <f t="shared" ca="1" si="9"/>
        <v>8553.0561687512163</v>
      </c>
      <c r="W11" s="8">
        <f t="shared" ca="1" si="9"/>
        <v>8997.8996347244683</v>
      </c>
      <c r="X11" s="8">
        <f t="shared" ca="1" si="9"/>
        <v>9465.8793581143509</v>
      </c>
      <c r="Y11" s="8">
        <f t="shared" ca="1" si="9"/>
        <v>14939.613075592208</v>
      </c>
      <c r="Z11" s="8">
        <f t="shared" ca="1" si="9"/>
        <v>24804.90424532727</v>
      </c>
      <c r="AA11" s="8">
        <f t="shared" ca="1" si="9"/>
        <v>24804.90424532727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10">D13</f>
        <v>0</v>
      </c>
      <c r="F13" s="36">
        <f t="shared" si="10"/>
        <v>0</v>
      </c>
      <c r="G13" s="36">
        <f t="shared" si="10"/>
        <v>0</v>
      </c>
      <c r="H13" s="36">
        <f t="shared" si="10"/>
        <v>0</v>
      </c>
      <c r="I13" s="36">
        <f t="shared" si="10"/>
        <v>0</v>
      </c>
      <c r="J13" s="36">
        <f t="shared" si="10"/>
        <v>0</v>
      </c>
      <c r="K13" s="36">
        <f t="shared" si="10"/>
        <v>0</v>
      </c>
      <c r="L13" s="36">
        <f t="shared" si="10"/>
        <v>0</v>
      </c>
      <c r="M13" s="36">
        <f t="shared" si="10"/>
        <v>0</v>
      </c>
      <c r="N13" s="36">
        <f t="shared" si="10"/>
        <v>0</v>
      </c>
      <c r="O13" s="36">
        <f t="shared" si="10"/>
        <v>0</v>
      </c>
      <c r="P13" s="36">
        <f t="shared" si="10"/>
        <v>0</v>
      </c>
      <c r="Q13" s="36">
        <f t="shared" si="10"/>
        <v>0</v>
      </c>
      <c r="R13" s="36">
        <f t="shared" si="10"/>
        <v>0</v>
      </c>
      <c r="S13" s="36">
        <f t="shared" si="10"/>
        <v>0</v>
      </c>
      <c r="T13" s="36">
        <f t="shared" si="10"/>
        <v>0</v>
      </c>
      <c r="U13" s="36">
        <f t="shared" ref="U13:AA18" si="11">T13</f>
        <v>0</v>
      </c>
      <c r="V13" s="36">
        <f t="shared" si="11"/>
        <v>0</v>
      </c>
      <c r="W13" s="36">
        <f t="shared" si="11"/>
        <v>0</v>
      </c>
      <c r="X13" s="36">
        <f t="shared" si="11"/>
        <v>0</v>
      </c>
      <c r="Y13" s="36">
        <f t="shared" si="11"/>
        <v>0</v>
      </c>
      <c r="Z13" s="36">
        <f t="shared" si="11"/>
        <v>0</v>
      </c>
      <c r="AA13" s="36">
        <f t="shared" si="11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ref="E14" si="12">D14</f>
        <v>0</v>
      </c>
      <c r="F14" s="36">
        <f t="shared" ref="F14" si="13">E14</f>
        <v>0</v>
      </c>
      <c r="G14" s="36">
        <f t="shared" ref="G14" si="14">F14</f>
        <v>0</v>
      </c>
      <c r="H14" s="36">
        <f t="shared" ref="H14" si="15">G14</f>
        <v>0</v>
      </c>
      <c r="I14" s="36">
        <f t="shared" si="10"/>
        <v>0</v>
      </c>
      <c r="J14" s="36">
        <f t="shared" si="10"/>
        <v>0</v>
      </c>
      <c r="K14" s="36">
        <f t="shared" si="10"/>
        <v>0</v>
      </c>
      <c r="L14" s="36">
        <f t="shared" si="10"/>
        <v>0</v>
      </c>
      <c r="M14" s="36">
        <f t="shared" si="10"/>
        <v>0</v>
      </c>
      <c r="N14" s="36">
        <f t="shared" si="10"/>
        <v>0</v>
      </c>
      <c r="O14" s="36">
        <f t="shared" si="10"/>
        <v>0</v>
      </c>
      <c r="P14" s="36">
        <f t="shared" si="10"/>
        <v>0</v>
      </c>
      <c r="Q14" s="36">
        <f t="shared" si="10"/>
        <v>0</v>
      </c>
      <c r="R14" s="36">
        <f t="shared" si="10"/>
        <v>0</v>
      </c>
      <c r="S14" s="36">
        <f t="shared" si="10"/>
        <v>0</v>
      </c>
      <c r="T14" s="36">
        <f t="shared" si="10"/>
        <v>0</v>
      </c>
      <c r="U14" s="36">
        <f t="shared" si="11"/>
        <v>0</v>
      </c>
      <c r="V14" s="36">
        <f t="shared" si="11"/>
        <v>0</v>
      </c>
      <c r="W14" s="36">
        <f t="shared" si="11"/>
        <v>0</v>
      </c>
      <c r="X14" s="36">
        <f t="shared" si="11"/>
        <v>0</v>
      </c>
      <c r="Y14" s="36">
        <f t="shared" si="11"/>
        <v>0</v>
      </c>
      <c r="Z14" s="36">
        <f t="shared" si="11"/>
        <v>0</v>
      </c>
      <c r="AA14" s="36">
        <f t="shared" si="11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10"/>
        <v>0</v>
      </c>
      <c r="F15" s="36">
        <f t="shared" si="10"/>
        <v>0</v>
      </c>
      <c r="G15" s="36">
        <f t="shared" si="10"/>
        <v>0</v>
      </c>
      <c r="H15" s="36">
        <f t="shared" si="10"/>
        <v>0</v>
      </c>
      <c r="I15" s="36">
        <f t="shared" si="10"/>
        <v>0</v>
      </c>
      <c r="J15" s="36">
        <f t="shared" si="10"/>
        <v>0</v>
      </c>
      <c r="K15" s="36">
        <f t="shared" si="10"/>
        <v>0</v>
      </c>
      <c r="L15" s="36">
        <f t="shared" si="10"/>
        <v>0</v>
      </c>
      <c r="M15" s="36">
        <f t="shared" si="10"/>
        <v>0</v>
      </c>
      <c r="N15" s="36">
        <f t="shared" si="10"/>
        <v>0</v>
      </c>
      <c r="O15" s="36">
        <f t="shared" si="10"/>
        <v>0</v>
      </c>
      <c r="P15" s="36">
        <f t="shared" si="10"/>
        <v>0</v>
      </c>
      <c r="Q15" s="36">
        <f t="shared" si="10"/>
        <v>0</v>
      </c>
      <c r="R15" s="36">
        <f t="shared" si="10"/>
        <v>0</v>
      </c>
      <c r="S15" s="36">
        <f t="shared" si="10"/>
        <v>0</v>
      </c>
      <c r="T15" s="36">
        <f t="shared" si="10"/>
        <v>0</v>
      </c>
      <c r="U15" s="36">
        <f t="shared" si="11"/>
        <v>0</v>
      </c>
      <c r="V15" s="36">
        <f t="shared" si="11"/>
        <v>0</v>
      </c>
      <c r="W15" s="36">
        <f t="shared" si="11"/>
        <v>0</v>
      </c>
      <c r="X15" s="36">
        <f t="shared" si="11"/>
        <v>0</v>
      </c>
      <c r="Y15" s="36">
        <f t="shared" si="11"/>
        <v>0</v>
      </c>
      <c r="Z15" s="36">
        <f t="shared" si="11"/>
        <v>0</v>
      </c>
      <c r="AA15" s="36">
        <f t="shared" si="11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6">C16</f>
        <v>0</v>
      </c>
      <c r="E16" s="36">
        <f t="shared" si="10"/>
        <v>0</v>
      </c>
      <c r="F16" s="36">
        <f t="shared" si="10"/>
        <v>0</v>
      </c>
      <c r="G16" s="36">
        <f t="shared" si="10"/>
        <v>0</v>
      </c>
      <c r="H16" s="36">
        <f t="shared" si="10"/>
        <v>0</v>
      </c>
      <c r="I16" s="36">
        <f t="shared" si="10"/>
        <v>0</v>
      </c>
      <c r="J16" s="36">
        <f t="shared" si="10"/>
        <v>0</v>
      </c>
      <c r="K16" s="36">
        <f t="shared" si="10"/>
        <v>0</v>
      </c>
      <c r="L16" s="36">
        <f t="shared" si="10"/>
        <v>0</v>
      </c>
      <c r="M16" s="36">
        <f t="shared" si="10"/>
        <v>0</v>
      </c>
      <c r="N16" s="36">
        <f t="shared" si="10"/>
        <v>0</v>
      </c>
      <c r="O16" s="36">
        <f t="shared" si="10"/>
        <v>0</v>
      </c>
      <c r="P16" s="36">
        <f t="shared" si="10"/>
        <v>0</v>
      </c>
      <c r="Q16" s="36">
        <f t="shared" si="10"/>
        <v>0</v>
      </c>
      <c r="R16" s="36">
        <f t="shared" si="10"/>
        <v>0</v>
      </c>
      <c r="S16" s="36">
        <f t="shared" si="10"/>
        <v>0</v>
      </c>
      <c r="T16" s="36">
        <f t="shared" si="10"/>
        <v>0</v>
      </c>
      <c r="U16" s="36">
        <f t="shared" si="11"/>
        <v>0</v>
      </c>
      <c r="V16" s="36">
        <f t="shared" si="11"/>
        <v>0</v>
      </c>
      <c r="W16" s="36">
        <f t="shared" si="11"/>
        <v>0</v>
      </c>
      <c r="X16" s="36">
        <f t="shared" si="11"/>
        <v>0</v>
      </c>
      <c r="Y16" s="36">
        <f t="shared" si="11"/>
        <v>0</v>
      </c>
      <c r="Z16" s="36">
        <f t="shared" si="11"/>
        <v>0</v>
      </c>
      <c r="AA16" s="36">
        <f t="shared" si="11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6"/>
        <v>0</v>
      </c>
      <c r="E17" s="36">
        <f t="shared" si="10"/>
        <v>0</v>
      </c>
      <c r="F17" s="36">
        <f t="shared" si="10"/>
        <v>0</v>
      </c>
      <c r="G17" s="36">
        <f t="shared" si="10"/>
        <v>0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36">
        <f t="shared" si="10"/>
        <v>0</v>
      </c>
      <c r="M17" s="36">
        <f t="shared" si="10"/>
        <v>0</v>
      </c>
      <c r="N17" s="36">
        <f t="shared" si="10"/>
        <v>0</v>
      </c>
      <c r="O17" s="36">
        <f t="shared" si="10"/>
        <v>0</v>
      </c>
      <c r="P17" s="36">
        <f t="shared" si="10"/>
        <v>0</v>
      </c>
      <c r="Q17" s="36">
        <f t="shared" si="10"/>
        <v>0</v>
      </c>
      <c r="R17" s="36">
        <f t="shared" si="10"/>
        <v>0</v>
      </c>
      <c r="S17" s="36">
        <f t="shared" si="10"/>
        <v>0</v>
      </c>
      <c r="T17" s="36">
        <f t="shared" si="10"/>
        <v>0</v>
      </c>
      <c r="U17" s="36">
        <f t="shared" si="11"/>
        <v>0</v>
      </c>
      <c r="V17" s="36">
        <f t="shared" si="11"/>
        <v>0</v>
      </c>
      <c r="W17" s="36">
        <f t="shared" si="11"/>
        <v>0</v>
      </c>
      <c r="X17" s="36">
        <f t="shared" si="11"/>
        <v>0</v>
      </c>
      <c r="Y17" s="36">
        <f t="shared" si="11"/>
        <v>0</v>
      </c>
      <c r="Z17" s="36">
        <f t="shared" si="11"/>
        <v>0</v>
      </c>
      <c r="AA17" s="36">
        <f t="shared" si="11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6"/>
        <v>0</v>
      </c>
      <c r="E18" s="36">
        <f t="shared" si="10"/>
        <v>0</v>
      </c>
      <c r="F18" s="36">
        <f t="shared" si="10"/>
        <v>0</v>
      </c>
      <c r="G18" s="36">
        <f t="shared" si="10"/>
        <v>0</v>
      </c>
      <c r="H18" s="36">
        <f t="shared" si="10"/>
        <v>0</v>
      </c>
      <c r="I18" s="36">
        <f t="shared" si="10"/>
        <v>0</v>
      </c>
      <c r="J18" s="36">
        <f t="shared" si="10"/>
        <v>0</v>
      </c>
      <c r="K18" s="36">
        <f t="shared" si="10"/>
        <v>0</v>
      </c>
      <c r="L18" s="36">
        <f t="shared" si="10"/>
        <v>0</v>
      </c>
      <c r="M18" s="36">
        <f t="shared" si="10"/>
        <v>0</v>
      </c>
      <c r="N18" s="36">
        <f t="shared" si="10"/>
        <v>0</v>
      </c>
      <c r="O18" s="36">
        <f t="shared" si="10"/>
        <v>0</v>
      </c>
      <c r="P18" s="36">
        <f t="shared" si="10"/>
        <v>0</v>
      </c>
      <c r="Q18" s="36">
        <f t="shared" si="10"/>
        <v>0</v>
      </c>
      <c r="R18" s="36">
        <f t="shared" si="10"/>
        <v>0</v>
      </c>
      <c r="S18" s="36">
        <f t="shared" si="10"/>
        <v>0</v>
      </c>
      <c r="T18" s="36">
        <f t="shared" si="10"/>
        <v>0</v>
      </c>
      <c r="U18" s="36">
        <f t="shared" si="11"/>
        <v>0</v>
      </c>
      <c r="V18" s="36">
        <f t="shared" si="11"/>
        <v>0</v>
      </c>
      <c r="W18" s="36">
        <f t="shared" si="11"/>
        <v>0</v>
      </c>
      <c r="X18" s="36">
        <f t="shared" si="11"/>
        <v>0</v>
      </c>
      <c r="Y18" s="36">
        <f t="shared" si="11"/>
        <v>0</v>
      </c>
      <c r="Z18" s="36">
        <f t="shared" si="11"/>
        <v>0</v>
      </c>
      <c r="AA18" s="36">
        <f t="shared" si="11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7">SUM(D13:D17)</f>
        <v>0</v>
      </c>
      <c r="E19" s="37">
        <f t="shared" si="17"/>
        <v>0</v>
      </c>
      <c r="F19" s="37">
        <f t="shared" si="17"/>
        <v>0</v>
      </c>
      <c r="G19" s="37">
        <f t="shared" si="17"/>
        <v>0</v>
      </c>
      <c r="H19" s="37">
        <f t="shared" si="17"/>
        <v>0</v>
      </c>
      <c r="I19" s="37">
        <f t="shared" si="17"/>
        <v>0</v>
      </c>
      <c r="J19" s="37">
        <f t="shared" si="17"/>
        <v>0</v>
      </c>
      <c r="K19" s="37">
        <f t="shared" si="17"/>
        <v>0</v>
      </c>
      <c r="L19" s="37">
        <f t="shared" si="17"/>
        <v>0</v>
      </c>
      <c r="M19" s="37">
        <f t="shared" si="17"/>
        <v>0</v>
      </c>
      <c r="N19" s="37">
        <f t="shared" si="17"/>
        <v>0</v>
      </c>
      <c r="O19" s="37">
        <f t="shared" si="17"/>
        <v>0</v>
      </c>
      <c r="P19" s="37">
        <f t="shared" si="17"/>
        <v>0</v>
      </c>
      <c r="Q19" s="37">
        <f t="shared" si="17"/>
        <v>0</v>
      </c>
      <c r="R19" s="37">
        <f t="shared" si="17"/>
        <v>0</v>
      </c>
      <c r="S19" s="37">
        <f t="shared" si="17"/>
        <v>0</v>
      </c>
      <c r="T19" s="37">
        <f t="shared" si="17"/>
        <v>0</v>
      </c>
      <c r="U19" s="37">
        <f t="shared" si="17"/>
        <v>0</v>
      </c>
      <c r="V19" s="37">
        <f t="shared" si="17"/>
        <v>0</v>
      </c>
      <c r="W19" s="37">
        <f t="shared" si="17"/>
        <v>0</v>
      </c>
      <c r="X19" s="37">
        <f t="shared" si="17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8">C19+C11</f>
        <v>2494</v>
      </c>
      <c r="D20" s="39">
        <f t="shared" ca="1" si="18"/>
        <v>2654</v>
      </c>
      <c r="E20" s="39">
        <f t="shared" ca="1" si="18"/>
        <v>2991</v>
      </c>
      <c r="F20" s="39">
        <f t="shared" ca="1" si="18"/>
        <v>3147</v>
      </c>
      <c r="G20" s="39">
        <f t="shared" ca="1" si="18"/>
        <v>3319</v>
      </c>
      <c r="H20" s="39">
        <f t="shared" ca="1" si="18"/>
        <v>3744</v>
      </c>
      <c r="I20" s="39">
        <f t="shared" ca="1" si="18"/>
        <v>4311.0000000000009</v>
      </c>
      <c r="J20" s="39">
        <f t="shared" ca="1" si="18"/>
        <v>4536.0000000000009</v>
      </c>
      <c r="K20" s="39">
        <f t="shared" ca="1" si="18"/>
        <v>4774.0000000000009</v>
      </c>
      <c r="L20" s="39">
        <f t="shared" ca="1" si="18"/>
        <v>5026.0000000000009</v>
      </c>
      <c r="M20" s="39">
        <f t="shared" ca="1" si="18"/>
        <v>5306.0000000000009</v>
      </c>
      <c r="N20" s="39">
        <f t="shared" ca="1" si="18"/>
        <v>5624.0000000000009</v>
      </c>
      <c r="O20" s="39">
        <f t="shared" ca="1" si="18"/>
        <v>5933.0000000000018</v>
      </c>
      <c r="P20" s="39">
        <f t="shared" ca="1" si="18"/>
        <v>6261.0000000000018</v>
      </c>
      <c r="Q20" s="39">
        <f t="shared" ca="1" si="18"/>
        <v>6611.0000000000018</v>
      </c>
      <c r="R20" s="39">
        <f t="shared" ca="1" si="18"/>
        <v>6983.0000000000018</v>
      </c>
      <c r="S20" s="39">
        <f t="shared" ca="1" si="18"/>
        <v>7346.1850255164154</v>
      </c>
      <c r="T20" s="39">
        <f t="shared" ca="1" si="18"/>
        <v>7728.2592623688388</v>
      </c>
      <c r="U20" s="39">
        <f t="shared" ca="1" si="18"/>
        <v>8130.205136262708</v>
      </c>
      <c r="V20" s="39">
        <f t="shared" ca="1" si="18"/>
        <v>8553.0561687512163</v>
      </c>
      <c r="W20" s="39">
        <f t="shared" ca="1" si="18"/>
        <v>8997.8996347244683</v>
      </c>
      <c r="X20" s="39">
        <f t="shared" ca="1" si="18"/>
        <v>9465.8793581143509</v>
      </c>
      <c r="Y20" s="39">
        <f t="shared" ca="1" si="18"/>
        <v>14939.613075592208</v>
      </c>
      <c r="Z20" s="39">
        <f t="shared" ca="1" si="18"/>
        <v>24804.90424532727</v>
      </c>
      <c r="AA20" s="39">
        <f t="shared" ca="1" si="18"/>
        <v>24804.90424532727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 t="e">
        <v>#N/A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 t="e">
        <f ca="1">(C21+C25)/C11-1</f>
        <v>#N/A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 t="e">
        <f ca="1">(C21+C25-C13)/C11-1</f>
        <v>#N/A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 t="e">
        <f ca="1">C25/C11-1</f>
        <v>#N/A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 t="e">
        <f ca="1">(C25-C13)/C11-1</f>
        <v>#N/A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 t="e">
        <v>#N/A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 t="e">
        <f ca="1">C30/C11-1</f>
        <v>#N/A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 t="e">
        <f ca="1">(C30-C13)/C11-1</f>
        <v>#N/A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439.5</v>
      </c>
      <c r="D33" s="23">
        <f ca="1">D20/(D34*8.76)</f>
        <v>456</v>
      </c>
      <c r="E33" s="23">
        <f ca="1">E20/(E34*8.76)</f>
        <v>509.99999999999994</v>
      </c>
      <c r="F33" s="23">
        <f t="shared" ref="F33:X33" ca="1" si="19">F20/(F34*8.76)</f>
        <v>532</v>
      </c>
      <c r="G33" s="23">
        <f t="shared" ca="1" si="19"/>
        <v>557</v>
      </c>
      <c r="H33" s="23">
        <f t="shared" ca="1" si="19"/>
        <v>629.00000000000011</v>
      </c>
      <c r="I33" s="23">
        <f t="shared" ca="1" si="19"/>
        <v>724.00000000000011</v>
      </c>
      <c r="J33" s="23">
        <f t="shared" ca="1" si="19"/>
        <v>761.00000000000011</v>
      </c>
      <c r="K33" s="23">
        <f t="shared" ca="1" si="19"/>
        <v>801.00000000000011</v>
      </c>
      <c r="L33" s="23">
        <f t="shared" ca="1" si="19"/>
        <v>844.00000000000023</v>
      </c>
      <c r="M33" s="23">
        <f t="shared" ca="1" si="19"/>
        <v>891.00000000000011</v>
      </c>
      <c r="N33" s="23">
        <f t="shared" ca="1" si="19"/>
        <v>944.00000000000023</v>
      </c>
      <c r="O33" s="23">
        <f t="shared" ca="1" si="19"/>
        <v>996.00000000000034</v>
      </c>
      <c r="P33" s="23">
        <f t="shared" ca="1" si="19"/>
        <v>1051.0000000000002</v>
      </c>
      <c r="Q33" s="23">
        <f t="shared" ca="1" si="19"/>
        <v>1110.0000000000002</v>
      </c>
      <c r="R33" s="23">
        <f t="shared" ca="1" si="19"/>
        <v>1172.0000000000005</v>
      </c>
      <c r="S33" s="23">
        <f t="shared" ca="1" si="19"/>
        <v>1232.9555849785536</v>
      </c>
      <c r="T33" s="23">
        <f t="shared" ca="1" si="19"/>
        <v>1297.0814629093913</v>
      </c>
      <c r="U33" s="23">
        <f t="shared" ca="1" si="19"/>
        <v>1364.5425203637253</v>
      </c>
      <c r="V33" s="23">
        <f t="shared" ca="1" si="19"/>
        <v>1435.5122196443399</v>
      </c>
      <c r="W33" s="23">
        <f t="shared" ca="1" si="19"/>
        <v>1510.1730448084029</v>
      </c>
      <c r="X33" s="23">
        <f t="shared" ca="1" si="19"/>
        <v>1588.7169708878735</v>
      </c>
    </row>
    <row r="34" spans="1:24" ht="15" x14ac:dyDescent="0.25">
      <c r="A34" s="1" t="s">
        <v>7</v>
      </c>
      <c r="C34" s="77">
        <f ca="1">C41/(C44*8.76)</f>
        <v>0.64778884265536285</v>
      </c>
      <c r="D34" s="77">
        <f ca="1">D41/(D44*8.76)</f>
        <v>0.66440358888087803</v>
      </c>
      <c r="E34" s="77">
        <f t="shared" ref="E34:R34" ca="1" si="20">E41/(E44*8.76)</f>
        <v>0.6694869728713404</v>
      </c>
      <c r="F34" s="77">
        <f t="shared" ca="1" si="20"/>
        <v>0.67527551756102588</v>
      </c>
      <c r="G34" s="77">
        <f t="shared" ca="1" si="20"/>
        <v>0.68021773525819174</v>
      </c>
      <c r="H34" s="77">
        <f t="shared" ca="1" si="20"/>
        <v>0.67948690027658598</v>
      </c>
      <c r="I34" s="77">
        <f t="shared" ca="1" si="20"/>
        <v>0.67972829788844324</v>
      </c>
      <c r="J34" s="77">
        <f t="shared" ca="1" si="20"/>
        <v>0.68043129983979267</v>
      </c>
      <c r="K34" s="77">
        <f t="shared" ca="1" si="20"/>
        <v>0.68037099744041407</v>
      </c>
      <c r="L34" s="77">
        <f t="shared" ca="1" si="20"/>
        <v>0.67979181544720724</v>
      </c>
      <c r="M34" s="77">
        <f t="shared" ca="1" si="20"/>
        <v>0.67980669198325216</v>
      </c>
      <c r="N34" s="77">
        <f t="shared" ca="1" si="20"/>
        <v>0.68009441993653741</v>
      </c>
      <c r="O34" s="77">
        <f t="shared" ca="1" si="20"/>
        <v>0.68000311749280229</v>
      </c>
      <c r="P34" s="77">
        <f t="shared" ca="1" si="20"/>
        <v>0.68004379390795455</v>
      </c>
      <c r="Q34" s="77">
        <f t="shared" ca="1" si="20"/>
        <v>0.67989222098811142</v>
      </c>
      <c r="R34" s="77">
        <f t="shared" ca="1" si="20"/>
        <v>0.68015880436984744</v>
      </c>
      <c r="S34" s="14">
        <f t="shared" ref="S34:X34" ca="1" si="21">R34</f>
        <v>0.68015880436984744</v>
      </c>
      <c r="T34" s="14">
        <f t="shared" ca="1" si="21"/>
        <v>0.68015880436984744</v>
      </c>
      <c r="U34" s="14">
        <f t="shared" ca="1" si="21"/>
        <v>0.68015880436984744</v>
      </c>
      <c r="V34" s="14">
        <f t="shared" ca="1" si="21"/>
        <v>0.68015880436984744</v>
      </c>
      <c r="W34" s="14">
        <f t="shared" ca="1" si="21"/>
        <v>0.68015880436984744</v>
      </c>
      <c r="X34" s="14">
        <f t="shared" ca="1" si="21"/>
        <v>0.68015880436984744</v>
      </c>
    </row>
    <row r="35" spans="1:24" ht="15" x14ac:dyDescent="0.25">
      <c r="A35" s="1" t="s">
        <v>8</v>
      </c>
      <c r="C35" s="15"/>
      <c r="D35" s="15">
        <f t="shared" ref="D35:J35" ca="1" si="22">D33/C33-1</f>
        <v>3.7542662116040848E-2</v>
      </c>
      <c r="E35" s="15">
        <f t="shared" ca="1" si="22"/>
        <v>0.11842105263157876</v>
      </c>
      <c r="F35" s="15">
        <f t="shared" ca="1" si="22"/>
        <v>4.3137254901960853E-2</v>
      </c>
      <c r="G35" s="15">
        <f t="shared" ca="1" si="22"/>
        <v>4.6992481203007586E-2</v>
      </c>
      <c r="H35" s="15">
        <f t="shared" ca="1" si="22"/>
        <v>0.12926391382405766</v>
      </c>
      <c r="I35" s="15">
        <f t="shared" ca="1" si="22"/>
        <v>0.15103338632750396</v>
      </c>
      <c r="J35" s="15">
        <f t="shared" ca="1" si="22"/>
        <v>5.1104972375690672E-2</v>
      </c>
      <c r="K35" s="15">
        <f t="shared" ref="K35" ca="1" si="23">K33/J33-1</f>
        <v>5.2562417871222067E-2</v>
      </c>
      <c r="L35" s="15">
        <f t="shared" ref="L35" ca="1" si="24">L33/K33-1</f>
        <v>5.3682896379525724E-2</v>
      </c>
      <c r="M35" s="15">
        <f t="shared" ref="M35" ca="1" si="25">M33/L33-1</f>
        <v>5.5687203791469075E-2</v>
      </c>
      <c r="N35" s="15">
        <f t="shared" ref="N35" ca="1" si="26">N33/M33-1</f>
        <v>5.9483726150392879E-2</v>
      </c>
      <c r="O35" s="15">
        <f t="shared" ref="O35" ca="1" si="27">O33/N33-1</f>
        <v>5.508474576271194E-2</v>
      </c>
      <c r="P35" s="15">
        <f t="shared" ref="P35" ca="1" si="28">P33/O33-1</f>
        <v>5.5220883534136345E-2</v>
      </c>
      <c r="Q35" s="15">
        <f t="shared" ref="Q35" ca="1" si="29">Q33/P33-1</f>
        <v>5.6137012369172234E-2</v>
      </c>
      <c r="R35" s="15">
        <f t="shared" ref="R35" ca="1" si="30">R33/Q33-1</f>
        <v>5.5855855855855951E-2</v>
      </c>
      <c r="S35" s="15">
        <f t="shared" ref="S35" ca="1" si="31">S33/R33-1</f>
        <v>5.2009884793987382E-2</v>
      </c>
      <c r="T35" s="15">
        <f t="shared" ref="T35" ca="1" si="32">T33/S33-1</f>
        <v>5.2009884793987382E-2</v>
      </c>
      <c r="U35" s="15">
        <f t="shared" ref="U35" ca="1" si="33">U33/T33-1</f>
        <v>5.2009884793987382E-2</v>
      </c>
      <c r="V35" s="15">
        <f t="shared" ref="V35" ca="1" si="34">V33/U33-1</f>
        <v>5.2009884793987382E-2</v>
      </c>
      <c r="W35" s="15">
        <f t="shared" ref="W35" ca="1" si="35">W33/V33-1</f>
        <v>5.200988479398716E-2</v>
      </c>
      <c r="X35" s="15">
        <f t="shared" ref="X35" ca="1" si="36">X33/W33-1</f>
        <v>5.2009884793987604E-2</v>
      </c>
    </row>
    <row r="36" spans="1:24" ht="15" x14ac:dyDescent="0.25">
      <c r="A36" s="1" t="s">
        <v>93</v>
      </c>
      <c r="B36" s="2" t="s">
        <v>9</v>
      </c>
      <c r="C36" s="24" t="e">
        <v>#N/A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 t="e">
        <f ca="1">MAX(0,C33-C36)</f>
        <v>#N/A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2494</v>
      </c>
      <c r="D41" s="74">
        <f ca="1">VALUE(OFFSET(SourceData!$A$4,$B$40+D$2-2011,SourceData!$D$1+General!$B$1))</f>
        <v>2654</v>
      </c>
      <c r="E41" s="74">
        <f ca="1">VALUE(OFFSET(SourceData!$A$4,$B$40+E$2-2011,SourceData!$D$1+General!$B$1))</f>
        <v>2991</v>
      </c>
      <c r="F41" s="74">
        <f ca="1">VALUE(OFFSET(SourceData!$A$4,$B$40+F$2-2011,SourceData!$D$1+General!$B$1))</f>
        <v>3147</v>
      </c>
      <c r="G41" s="74">
        <f ca="1">VALUE(OFFSET(SourceData!$A$4,$B$40+G$2-2011,SourceData!$D$1+General!$B$1))</f>
        <v>3319</v>
      </c>
      <c r="H41" s="74">
        <f ca="1">VALUE(OFFSET(SourceData!$A$4,$B$40+H$2-2011,SourceData!$D$1+General!$B$1))</f>
        <v>3744</v>
      </c>
      <c r="I41" s="74">
        <f ca="1">VALUE(OFFSET(SourceData!$A$4,$B$40+I$2-2011,SourceData!$D$1+General!$B$1))</f>
        <v>4311</v>
      </c>
      <c r="J41" s="74">
        <f ca="1">VALUE(OFFSET(SourceData!$A$4,$B$40+J$2-2011,SourceData!$D$1+General!$B$1))</f>
        <v>4536</v>
      </c>
      <c r="K41" s="74">
        <f ca="1">VALUE(OFFSET(SourceData!$A$4,$B$40+K$2-2011,SourceData!$D$1+General!$B$1))</f>
        <v>4774</v>
      </c>
      <c r="L41" s="74">
        <f ca="1">VALUE(OFFSET(SourceData!$A$4,$B$40+L$2-2011,SourceData!$D$1+General!$B$1))</f>
        <v>5026</v>
      </c>
      <c r="M41" s="74">
        <f ca="1">VALUE(OFFSET(SourceData!$A$4,$B$40+M$2-2011,SourceData!$D$1+General!$B$1))</f>
        <v>5306</v>
      </c>
      <c r="N41" s="74">
        <f ca="1">VALUE(OFFSET(SourceData!$A$4,$B$40+N$2-2011,SourceData!$D$1+General!$B$1))</f>
        <v>5624</v>
      </c>
      <c r="O41" s="74">
        <f ca="1">VALUE(OFFSET(SourceData!$A$4,$B$40+O$2-2011,SourceData!$D$1+General!$B$1))</f>
        <v>5933</v>
      </c>
      <c r="P41" s="74">
        <f ca="1">VALUE(OFFSET(SourceData!$A$4,$B$40+P$2-2011,SourceData!$D$1+General!$B$1))</f>
        <v>6261</v>
      </c>
      <c r="Q41" s="74">
        <f ca="1">VALUE(OFFSET(SourceData!$A$4,$B$40+Q$2-2011,SourceData!$D$1+General!$B$1))</f>
        <v>6611</v>
      </c>
      <c r="R41" s="74">
        <f ca="1">VALUE(OFFSET(SourceData!$A$4,$B$40+R$2-2011,SourceData!$D$1+General!$B$1))</f>
        <v>6983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6.4153969526864474E-2</v>
      </c>
      <c r="E42" s="21">
        <f t="shared" ref="E42:R42" ca="1" si="37">E41/D41-1</f>
        <v>0.12697814619442349</v>
      </c>
      <c r="F42" s="21">
        <f t="shared" ca="1" si="37"/>
        <v>5.2156469408224604E-2</v>
      </c>
      <c r="G42" s="21">
        <f t="shared" ca="1" si="37"/>
        <v>5.4655227200508527E-2</v>
      </c>
      <c r="H42" s="21">
        <f t="shared" ca="1" si="37"/>
        <v>0.12805061765592041</v>
      </c>
      <c r="I42" s="21">
        <f t="shared" ca="1" si="37"/>
        <v>0.15144230769230771</v>
      </c>
      <c r="J42" s="21">
        <f t="shared" ca="1" si="37"/>
        <v>5.2192066805845538E-2</v>
      </c>
      <c r="K42" s="21">
        <f t="shared" ca="1" si="37"/>
        <v>5.2469135802469147E-2</v>
      </c>
      <c r="L42" s="21">
        <f t="shared" ca="1" si="37"/>
        <v>5.2785923753665642E-2</v>
      </c>
      <c r="M42" s="21">
        <f t="shared" ca="1" si="37"/>
        <v>5.5710306406685284E-2</v>
      </c>
      <c r="N42" s="21">
        <f t="shared" ca="1" si="37"/>
        <v>5.9932152280437245E-2</v>
      </c>
      <c r="O42" s="21">
        <f t="shared" ca="1" si="37"/>
        <v>5.494310099573263E-2</v>
      </c>
      <c r="P42" s="21">
        <f t="shared" ca="1" si="37"/>
        <v>5.5284004719366342E-2</v>
      </c>
      <c r="Q42" s="21">
        <f t="shared" ca="1" si="37"/>
        <v>5.5901613160836972E-2</v>
      </c>
      <c r="R42" s="21">
        <f t="shared" ca="1" si="37"/>
        <v>5.6269853274844905E-2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439.5</v>
      </c>
      <c r="D44" s="74">
        <f ca="1">VALUE(OFFSET(SourceData!$A$4,$B$40+D$2-2011,SourceData!$J$1+General!$B$1))</f>
        <v>456</v>
      </c>
      <c r="E44" s="74">
        <f ca="1">VALUE(OFFSET(SourceData!$A$4,$B$40+E$2-2011,SourceData!$J$1+General!$B$1))</f>
        <v>510</v>
      </c>
      <c r="F44" s="74">
        <f ca="1">VALUE(OFFSET(SourceData!$A$4,$B$40+F$2-2011,SourceData!$J$1+General!$B$1))</f>
        <v>532</v>
      </c>
      <c r="G44" s="74">
        <f ca="1">VALUE(OFFSET(SourceData!$A$4,$B$40+G$2-2011,SourceData!$J$1+General!$B$1))</f>
        <v>557</v>
      </c>
      <c r="H44" s="74">
        <f ca="1">VALUE(OFFSET(SourceData!$A$4,$B$40+H$2-2011,SourceData!$J$1+General!$B$1))</f>
        <v>629</v>
      </c>
      <c r="I44" s="74">
        <f ca="1">VALUE(OFFSET(SourceData!$A$4,$B$40+I$2-2011,SourceData!$J$1+General!$B$1))</f>
        <v>724</v>
      </c>
      <c r="J44" s="74">
        <f ca="1">VALUE(OFFSET(SourceData!$A$4,$B$40+J$2-2011,SourceData!$J$1+General!$B$1))</f>
        <v>761</v>
      </c>
      <c r="K44" s="74">
        <f ca="1">VALUE(OFFSET(SourceData!$A$4,$B$40+K$2-2011,SourceData!$J$1+General!$B$1))</f>
        <v>801</v>
      </c>
      <c r="L44" s="74">
        <f ca="1">VALUE(OFFSET(SourceData!$A$4,$B$40+L$2-2011,SourceData!$J$1+General!$B$1))</f>
        <v>844</v>
      </c>
      <c r="M44" s="74">
        <f ca="1">VALUE(OFFSET(SourceData!$A$4,$B$40+M$2-2011,SourceData!$J$1+General!$B$1))</f>
        <v>891</v>
      </c>
      <c r="N44" s="74">
        <f ca="1">VALUE(OFFSET(SourceData!$A$4,$B$40+N$2-2011,SourceData!$J$1+General!$B$1))</f>
        <v>944</v>
      </c>
      <c r="O44" s="74">
        <f ca="1">VALUE(OFFSET(SourceData!$A$4,$B$40+O$2-2011,SourceData!$J$1+General!$B$1))</f>
        <v>996</v>
      </c>
      <c r="P44" s="74">
        <f ca="1">VALUE(OFFSET(SourceData!$A$4,$B$40+P$2-2011,SourceData!$J$1+General!$B$1))</f>
        <v>1051</v>
      </c>
      <c r="Q44" s="74">
        <f ca="1">VALUE(OFFSET(SourceData!$A$4,$B$40+Q$2-2011,SourceData!$J$1+General!$B$1))</f>
        <v>1110</v>
      </c>
      <c r="R44" s="74">
        <f ca="1">VALUE(OFFSET(SourceData!$A$4,$B$40+R$2-2011,SourceData!$J$1+General!$B$1))</f>
        <v>1172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3.7542662116040848E-2</v>
      </c>
      <c r="E45" s="17">
        <f t="shared" ref="E45:R45" ca="1" si="38">E44/D44-1</f>
        <v>0.11842105263157898</v>
      </c>
      <c r="F45" s="17">
        <f t="shared" ca="1" si="38"/>
        <v>4.3137254901960853E-2</v>
      </c>
      <c r="G45" s="17">
        <f t="shared" ca="1" si="38"/>
        <v>4.6992481203007586E-2</v>
      </c>
      <c r="H45" s="17">
        <f t="shared" ca="1" si="38"/>
        <v>0.12926391382405744</v>
      </c>
      <c r="I45" s="17">
        <f t="shared" ca="1" si="38"/>
        <v>0.15103338632750396</v>
      </c>
      <c r="J45" s="17">
        <f t="shared" ca="1" si="38"/>
        <v>5.1104972375690672E-2</v>
      </c>
      <c r="K45" s="17">
        <f t="shared" ca="1" si="38"/>
        <v>5.2562417871222067E-2</v>
      </c>
      <c r="L45" s="17">
        <f t="shared" ca="1" si="38"/>
        <v>5.3682896379525502E-2</v>
      </c>
      <c r="M45" s="17">
        <f t="shared" ca="1" si="38"/>
        <v>5.5687203791469297E-2</v>
      </c>
      <c r="N45" s="17">
        <f t="shared" ca="1" si="38"/>
        <v>5.9483726150392879E-2</v>
      </c>
      <c r="O45" s="17">
        <f t="shared" ca="1" si="38"/>
        <v>5.508474576271194E-2</v>
      </c>
      <c r="P45" s="17">
        <f t="shared" ca="1" si="38"/>
        <v>5.5220883534136567E-2</v>
      </c>
      <c r="Q45" s="17">
        <f t="shared" ca="1" si="38"/>
        <v>5.6137012369172234E-2</v>
      </c>
      <c r="R45" s="17">
        <f t="shared" ca="1" si="38"/>
        <v>5.5855855855855951E-2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showDropDown="1" showInputMessage="1" showErrorMessage="1" sqref="B40"/>
    <dataValidation type="list" allowBlank="1" showInputMessage="1" showErrorMessage="1" sqref="B19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J31"/>
  <sheetViews>
    <sheetView workbookViewId="0">
      <selection activeCell="H9" sqref="H9"/>
    </sheetView>
  </sheetViews>
  <sheetFormatPr defaultRowHeight="15" x14ac:dyDescent="0.25"/>
  <cols>
    <col min="2" max="2" width="12.5703125" customWidth="1"/>
  </cols>
  <sheetData>
    <row r="2" spans="2:10" x14ac:dyDescent="0.25">
      <c r="D2" s="92" t="s">
        <v>487</v>
      </c>
      <c r="G2" s="92" t="s">
        <v>553</v>
      </c>
    </row>
    <row r="3" spans="2:10" x14ac:dyDescent="0.25">
      <c r="D3" t="s">
        <v>535</v>
      </c>
      <c r="E3" t="s">
        <v>519</v>
      </c>
      <c r="F3" t="s">
        <v>518</v>
      </c>
      <c r="G3" t="str">
        <f>D3</f>
        <v>Heavy Industry</v>
      </c>
      <c r="H3" t="str">
        <f t="shared" ref="H3:I3" si="0">E3</f>
        <v>Urban</v>
      </c>
      <c r="I3" t="str">
        <f t="shared" si="0"/>
        <v>Rural</v>
      </c>
      <c r="J3" t="s">
        <v>554</v>
      </c>
    </row>
    <row r="4" spans="2:10" x14ac:dyDescent="0.25">
      <c r="B4" t="s">
        <v>63</v>
      </c>
      <c r="C4" t="s">
        <v>64</v>
      </c>
      <c r="D4" t="str">
        <f ca="1">VLOOKUP(D$3&amp;$C4,DemandBreakdown!$A$5:$DL$68,DemandBreakdown!$CN$2,FALSE)</f>
        <v xml:space="preserve">9.1 11.1 13.9 17.1 20.8 24.9 28.2 31.8 35.8 40.2 45 49.4 54.2 59.4 65 71.1 77.7 84.8 92.5 100.8 109.2 116.7 212.2 412.3 </v>
      </c>
      <c r="E4" t="str">
        <f ca="1">VLOOKUP(E$3&amp;$C4,DemandBreakdown!$A$5:$DL$68,DemandBreakdown!$CN$2,FALSE)</f>
        <v xml:space="preserve">72.1 71.6 74.9 78.7 82.9 87.2 92.5 98 103.7 109.6 115.7 122.8 130.2 137.9 146 154.5 163.3 172.4 181.9 191.8 200.9 214.7 390.5 758.7 </v>
      </c>
      <c r="F4" t="str">
        <f ca="1">VLOOKUP(F$3&amp;$C4,DemandBreakdown!$A$5:$DL$68,DemandBreakdown!$CN$2,FALSE)</f>
        <v xml:space="preserve">1.6 1.8 2 2.4 2.7 3.1 3.8 4.6 5.4 6.3 7.3 8.7 10.2 11.8 13.6 15.7 17.9 20.4 23.1 26 29.1 31.1 56.6 110 </v>
      </c>
      <c r="G4" t="str">
        <f>VLOOKUP(G$3&amp;$C4,DemandBreakdown!$A$5:$DM$68,DemandBreakdown!$DM$2,FALSE)</f>
        <v xml:space="preserve">0.98 0.98 0.98 0.98 0.98 0.98 0.98 0.98 0.98 0.98 0.98 0.982 0.984 0.986 0.988 0.99 0.992 0.994 0.996 0.998 1 1 1 1 </v>
      </c>
      <c r="H4" t="str">
        <f>VLOOKUP(H$3&amp;$C4,DemandBreakdown!$A$5:$DM$68,DemandBreakdown!$DM$2,FALSE)</f>
        <v xml:space="preserve">0.88 0.882 0.884 0.886 0.888 0.89 0.892 0.894 0.896 0.898 0.9 0.902 0.904 0.906 0.908 0.91 0.912 0.914 0.916 0.918 0.92 0.92 0.92 0.92 </v>
      </c>
      <c r="I4" t="str">
        <f>VLOOKUP(I$3&amp;$C4,DemandBreakdown!$A$5:$DM$68,DemandBreakdown!$DM$2,FALSE)</f>
        <v xml:space="preserve">0.85 0.845 0.84 0.835 0.83 0.825 0.82 0.815 0.81 0.805 0.8 0.8 0.8 0.8 0.8 0.8 0.8 0.8 0.8 0.8 0.8 0.8 0.8 0.8 </v>
      </c>
      <c r="J4" s="72">
        <f>1-DemandBreakdown!AK5</f>
        <v>0.95</v>
      </c>
    </row>
    <row r="5" spans="2:10" x14ac:dyDescent="0.25">
      <c r="B5" t="s">
        <v>67</v>
      </c>
      <c r="C5" t="s">
        <v>62</v>
      </c>
      <c r="D5" t="str">
        <f ca="1">VLOOKUP(D$3&amp;$C5,DemandBreakdown!$A$5:$DL$68,DemandBreakdown!$CN$2,FALSE)</f>
        <v xml:space="preserve">61.8 76.6 95.1 115.6 138.6 164.3 191.7 221.4 253.7 288.7 326.6 351 376.8 404.1 433 463.5 495.7 529.6 565.3 602.8 637.6 673 1092.4 1863.3 </v>
      </c>
      <c r="E5" t="str">
        <f ca="1">VLOOKUP(E$3&amp;$C5,DemandBreakdown!$A$5:$DL$68,DemandBreakdown!$CN$2,FALSE)</f>
        <v xml:space="preserve">446.6 455.1 477.4 500.3 524.6 550.4 574.7 598.9 622.9 646.6 669.9 700.9 732.6 765.1 798.3 832.5 867.2 902.7 938.8 975.6 1005.6 1049.5 1541 2357.1 </v>
      </c>
      <c r="F5" t="str">
        <f ca="1">VLOOKUP(F$3&amp;$C5,DemandBreakdown!$A$5:$DL$68,DemandBreakdown!$CN$2,FALSE)</f>
        <v xml:space="preserve">9.5 10.8 12.6 14.7 16.9 19.5 20.8 22.2 23.6 25.1 26.7 30 33.6 37.5 41.6 46.1 50.9 56 61.4 67.2 72.9 76.4 116.5 186.3 </v>
      </c>
      <c r="G5" t="str">
        <f>VLOOKUP(G$3&amp;$C5,DemandBreakdown!$A$5:$DM$68,DemandBreakdown!$DM$2,FALSE)</f>
        <v xml:space="preserve">0.98 0.98 0.98 0.98 0.98 0.98 0.98 0.98 0.98 0.98 0.98 0.982 0.984 0.986 0.988 0.99 0.992 0.994 0.996 0.998 1 1 1 1 </v>
      </c>
      <c r="H5" t="str">
        <f>VLOOKUP(H$3&amp;$C5,DemandBreakdown!$A$5:$DM$68,DemandBreakdown!$DM$2,FALSE)</f>
        <v xml:space="preserve">0.805 0.8145 0.824 0.8335 0.843 0.8525 0.862 0.8715 0.881 0.8905 0.9 0.902 0.904 0.906 0.908 0.91 0.912 0.914 0.916 0.918 0.92 0.92 0.92 0.92 </v>
      </c>
      <c r="I5" t="str">
        <f>VLOOKUP(I$3&amp;$C5,DemandBreakdown!$A$5:$DM$68,DemandBreakdown!$DM$2,FALSE)</f>
        <v xml:space="preserve">0.75 0.755 0.76 0.765 0.77 0.775 0.78 0.785 0.79 0.795 0.8 0.8 0.8 0.8 0.8 0.8 0.8 0.8 0.8 0.8 0.8 0.8 0.8 0.8 </v>
      </c>
      <c r="J5" s="72">
        <f>J4</f>
        <v>0.95</v>
      </c>
    </row>
    <row r="6" spans="2:10" x14ac:dyDescent="0.25">
      <c r="B6" t="s">
        <v>68</v>
      </c>
      <c r="C6" t="s">
        <v>69</v>
      </c>
      <c r="D6" t="str">
        <f ca="1">VLOOKUP(D$3&amp;$C6,DemandBreakdown!$A$5:$DL$68,DemandBreakdown!$CN$2,FALSE)</f>
        <v xml:space="preserve">2.3 3.8 7.2 11 15.8 21.8 27 27 27.1 27 27 28.1 29.2 30.3 31.5 32.8 34 35.4 36.8 38.2 39.7 41.1 57 81.8 </v>
      </c>
      <c r="E6" t="str">
        <f ca="1">VLOOKUP(E$3&amp;$C6,DemandBreakdown!$A$5:$DL$68,DemandBreakdown!$CN$2,FALSE)</f>
        <v xml:space="preserve">15.7 16.4 22.1 25.8 29.3 32.5 42.6 45.2 47.9 50.7 53.7 55.5 57.2 59 60.8 62.7 64.7 66.7 68.7 70.8 73 75.7 104.8 150.5 </v>
      </c>
      <c r="F6" t="str">
        <f ca="1">VLOOKUP(F$3&amp;$C6,DemandBreakdown!$A$5:$DL$68,DemandBreakdown!$CN$2,FALSE)</f>
        <v xml:space="preserve">0.3 0.4 0.6 0.9 1.1 1.4 2.1 2.4 2.8 3.2 3.7 4.2 4.7 5.3 6 6.6 7.3 8.1 8.9 9.7 10.6 11 15.2 21.8 </v>
      </c>
      <c r="G6" t="str">
        <f>VLOOKUP(G$3&amp;$C6,DemandBreakdown!$A$5:$DM$68,DemandBreakdown!$DM$2,FALSE)</f>
        <v xml:space="preserve">0.98 0.98 0.98 0.98 0.98 0.98 0.98 0.98 0.98 0.98 0.98 0.982 0.984 0.986 0.988 0.99 0.992 0.994 0.996 0.998 1 1 1 1 </v>
      </c>
      <c r="H6" t="str">
        <f>VLOOKUP(H$3&amp;$C6,DemandBreakdown!$A$5:$DM$68,DemandBreakdown!$DM$2,FALSE)</f>
        <v xml:space="preserve">0.75 0.765 0.78 0.795 0.81 0.825 0.84 0.855 0.87 0.885 0.9 0.902 0.904 0.906 0.908 0.91 0.912 0.914 0.916 0.918 0.92 0.92 0.92 0.92 </v>
      </c>
      <c r="I6" t="str">
        <f>VLOOKUP(I$3&amp;$C6,DemandBreakdown!$A$5:$DM$68,DemandBreakdown!$DM$2,FALSE)</f>
        <v xml:space="preserve">0.7 0.71 0.72 0.73 0.74 0.75 0.76 0.77 0.78 0.79 0.8 0.8 0.8 0.8 0.8 0.8 0.8 0.8 0.8 0.8 0.8 0.8 0.8 0.8 </v>
      </c>
      <c r="J6" s="72">
        <f t="shared" ref="J6:J16" si="1">J5</f>
        <v>0.95</v>
      </c>
    </row>
    <row r="7" spans="2:10" x14ac:dyDescent="0.25">
      <c r="B7" t="s">
        <v>70</v>
      </c>
      <c r="C7" t="s">
        <v>71</v>
      </c>
      <c r="D7" t="str">
        <f ca="1">VLOOKUP(D$3&amp;$C7,DemandBreakdown!$A$5:$DL$68,DemandBreakdown!$CN$2,FALSE)</f>
        <v xml:space="preserve">95.9 141.7 174.6 222.1 262.8 307.3 355.9 409.2 467.3 530.9 600.3 645.7 694.6 747.4 804.2 865.5 931.5 1002.6 1079.3 1161.9 1252 1335.8 2407.4 4665.8 </v>
      </c>
      <c r="E7" t="str">
        <f ca="1">VLOOKUP(E$3&amp;$C7,DemandBreakdown!$A$5:$DL$68,DemandBreakdown!$CN$2,FALSE)</f>
        <v xml:space="preserve">693.1 841.8 876.7 961.2 994.5 1029 1067.3 1106.7 1147.2 1188.8 1231.2 1289.2 1350.4 1414.9 1482.8 1554.3 1629.6 1709 1792.5 1880.5 1974.6 2083.2 3396 5902.3 </v>
      </c>
      <c r="F7" t="str">
        <f ca="1">VLOOKUP(F$3&amp;$C7,DemandBreakdown!$A$5:$DL$68,DemandBreakdown!$CN$2,FALSE)</f>
        <v xml:space="preserve">14.7 20 23.2 28.2 32.1 36.4 38.6 41 43.5 46.1 49 55.2 61.9 69.3 77.3 86.1 95.6 106 117.3 129.6 143.1 151.6 256.8 466.6 </v>
      </c>
      <c r="G7" t="str">
        <f>VLOOKUP(G$3&amp;$C7,DemandBreakdown!$A$5:$DM$68,DemandBreakdown!$DM$2,FALSE)</f>
        <v xml:space="preserve">0.98 0.98 0.98 0.98 0.98 0.98 0.98 0.98 0.98 0.98 0.98 0.982 0.984 0.986 0.988 0.99 0.992 0.994 0.996 0.998 1 1 1 1 </v>
      </c>
      <c r="H7" t="str">
        <f>VLOOKUP(H$3&amp;$C7,DemandBreakdown!$A$5:$DM$68,DemandBreakdown!$DM$2,FALSE)</f>
        <v xml:space="preserve">0.805 0.8145 0.824 0.8335 0.843 0.8525 0.862 0.8715 0.881 0.8905 0.9 0.902 0.904 0.906 0.908 0.91 0.912 0.914 0.916 0.918 0.92 0.92 0.92 0.92 </v>
      </c>
      <c r="I7" t="str">
        <f>VLOOKUP(I$3&amp;$C7,DemandBreakdown!$A$5:$DM$68,DemandBreakdown!$DM$2,FALSE)</f>
        <v xml:space="preserve">0.75 0.755 0.76 0.765 0.77 0.775 0.78 0.785 0.79 0.795 0.8 0.8 0.8 0.8 0.8 0.8 0.8 0.8 0.8 0.8 0.8 0.8 0.8 0.8 </v>
      </c>
      <c r="J7" s="72">
        <f t="shared" si="1"/>
        <v>0.95</v>
      </c>
    </row>
    <row r="8" spans="2:10" x14ac:dyDescent="0.25">
      <c r="B8" t="s">
        <v>72</v>
      </c>
      <c r="C8" t="s">
        <v>73</v>
      </c>
      <c r="D8" t="str">
        <f ca="1">VLOOKUP(D$3&amp;$C8,DemandBreakdown!$A$5:$DL$68,DemandBreakdown!$CN$2,FALSE)</f>
        <v xml:space="preserve">0 0 0 0 0 0 280.9 285 289.4 516.9 524.6 533.6 542.7 552 561.3 571 580.1 589.6 599.1 608.6 617.9 626.3 701 784.1 </v>
      </c>
      <c r="E8" t="str">
        <f ca="1">VLOOKUP(E$3&amp;$C8,DemandBreakdown!$A$5:$DL$68,DemandBreakdown!$CN$2,FALSE)</f>
        <v xml:space="preserve">48.5 49.3 62.5 77.9 93.1 133.5 147.6 152 156 158.9 160 165.7 169.2 172.6 175.9 179.3 182.5 185.7 188.8 191.8 192.9 197.9 249.7 323.2 </v>
      </c>
      <c r="F8" t="str">
        <f ca="1">VLOOKUP(F$3&amp;$C8,DemandBreakdown!$A$5:$DL$68,DemandBreakdown!$CN$2,FALSE)</f>
        <v xml:space="preserve">0.9 1.1 1.6 2.4 3.4 5.8 8.1 10.6 14 18.8 25.8 29.3 32.5 35.8 39.2 42.6 46.1 49.7 53.3 57 60.1 61.7 77.8 100.7 </v>
      </c>
      <c r="G8" t="str">
        <f>VLOOKUP(G$3&amp;$C8,DemandBreakdown!$A$5:$DM$68,DemandBreakdown!$DM$2,FALSE)</f>
        <v xml:space="preserve">0.98 0.98 0.98 0.98 0.98 0.98 0.98 0.98 0.98 0.98 0.98 0.982 0.984 0.986 0.988 0.99 0.992 0.994 0.996 0.998 1 1 1 1 </v>
      </c>
      <c r="H8" t="str">
        <f>VLOOKUP(H$3&amp;$C8,DemandBreakdown!$A$5:$DM$68,DemandBreakdown!$DM$2,FALSE)</f>
        <v xml:space="preserve">0.75 0.765 0.78 0.795 0.81 0.825 0.84 0.855 0.87 0.885 0.9 0.902 0.904 0.906 0.908 0.91 0.912 0.914 0.916 0.918 0.92 0.92 0.92 0.92 </v>
      </c>
      <c r="I8" t="str">
        <f>VLOOKUP(I$3&amp;$C8,DemandBreakdown!$A$5:$DM$68,DemandBreakdown!$DM$2,FALSE)</f>
        <v xml:space="preserve">0.7 0.71 0.72 0.73 0.74 0.75 0.76 0.77 0.78 0.79 0.8 0.8 0.8 0.8 0.8 0.8 0.8 0.8 0.8 0.8 0.8 0.8 0.8 0.8 </v>
      </c>
      <c r="J8" s="72">
        <f t="shared" si="1"/>
        <v>0.95</v>
      </c>
    </row>
    <row r="9" spans="2:10" x14ac:dyDescent="0.25">
      <c r="B9" t="s">
        <v>74</v>
      </c>
      <c r="C9" t="s">
        <v>75</v>
      </c>
      <c r="D9" t="str">
        <f ca="1">VLOOKUP(D$3&amp;$C9,DemandBreakdown!$A$5:$DL$68,DemandBreakdown!$CN$2,FALSE)</f>
        <v xml:space="preserve">0 0 0 0 0 0 37.3 37.3 37.3 37.3 74.5 74.7 74.8 75 75.1 75.3 75.4 75.6 75.7 75.9 76 76 76 76 </v>
      </c>
      <c r="E9" t="str">
        <f ca="1">VLOOKUP(E$3&amp;$C9,DemandBreakdown!$A$5:$DL$68,DemandBreakdown!$CN$2,FALSE)</f>
        <v xml:space="preserve">11.2 11.4 12.3 13.1 14.1 15.1 16.1 20.1 24.3 28.5 32.5 37.2 39.3 41.5 43.8 46.2 48.8 51.4 54.2 57.2 60 63.1 96.1 148.4 </v>
      </c>
      <c r="F9" t="str">
        <f ca="1">VLOOKUP(F$3&amp;$C9,DemandBreakdown!$A$5:$DL$68,DemandBreakdown!$CN$2,FALSE)</f>
        <v xml:space="preserve">0.2 0.3 0.3 0.4 0.5 0.6 0.8 1.3 2 3 4.6 5.3 5.6 5.9 6.3 6.6 7 7.4 7.8 8.3 8.7 9.2 13.9 21.5 </v>
      </c>
      <c r="G9" t="str">
        <f>VLOOKUP(G$3&amp;$C9,DemandBreakdown!$A$5:$DM$68,DemandBreakdown!$DM$2,FALSE)</f>
        <v xml:space="preserve">0.98 0.98 0.98 0.98 0.98 0.98 0.98 0.98 0.98 0.98 0.98 0.982 0.984 0.986 0.988 0.99 0.992 0.994 0.996 0.998 1 1 1 1 </v>
      </c>
      <c r="H9" t="str">
        <f>VLOOKUP(H$3&amp;$C9,DemandBreakdown!$A$5:$DM$68,DemandBreakdown!$DM$2,FALSE)</f>
        <v xml:space="preserve">0.75 0.765 0.78 0.795 0.81 0.825 0.84 0.855 0.87 0.885 0.9 0.902 0.904 0.906 0.908 0.91 0.912 0.914 0.916 0.918 0.92 0.92 0.92 0.92 </v>
      </c>
      <c r="I9" t="str">
        <f>VLOOKUP(I$3&amp;$C9,DemandBreakdown!$A$5:$DM$68,DemandBreakdown!$DM$2,FALSE)</f>
        <v xml:space="preserve">0.7 0.71 0.72 0.73 0.74 0.75 0.76 0.77 0.78 0.79 0.8 0.8 0.8 0.8 0.8 0.8 0.8 0.8 0.8 0.8 0.8 0.8 0.8 0.8 </v>
      </c>
      <c r="J9" s="72">
        <f t="shared" si="1"/>
        <v>0.95</v>
      </c>
    </row>
    <row r="10" spans="2:10" x14ac:dyDescent="0.25">
      <c r="B10" t="s">
        <v>76</v>
      </c>
      <c r="C10" t="s">
        <v>77</v>
      </c>
      <c r="D10" t="str">
        <f ca="1">VLOOKUP(D$3&amp;$C10,DemandBreakdown!$A$5:$DL$68,DemandBreakdown!$CN$2,FALSE)</f>
        <v xml:space="preserve">0 0 3.5 13.9 69.8 125.7 195.6 195.6 195.6 195.6 195.6 196 196.4 196.7 197.1 197.5 197.9 198.3 198.7 199.1 199.5 199.5 199.5 199.5 </v>
      </c>
      <c r="E10" t="str">
        <f ca="1">VLOOKUP(E$3&amp;$C10,DemandBreakdown!$A$5:$DL$68,DemandBreakdown!$CN$2,FALSE)</f>
        <v xml:space="preserve">2.7 3.8 8.6 13.6 19 22.4 23.8 25.1 26.2 26.8 26.1 27.3 28.6 30.1 31.6 33.2 34.9 36.7 38.6 40.5 42.5 45.1 76.8 138.8 </v>
      </c>
      <c r="F10" t="str">
        <f ca="1">VLOOKUP(F$3&amp;$C10,DemandBreakdown!$A$5:$DL$68,DemandBreakdown!$CN$2,FALSE)</f>
        <v xml:space="preserve">0.1 0.1 0.2 0.4 0.7 1.1 1.5 2.1 3.1 4.7 7.6 8.6 9.5 10.6 11.7 12.8 14 15.3 16.7 18.1 19.5 20.7 35.3 63.9 </v>
      </c>
      <c r="G10" t="str">
        <f>VLOOKUP(G$3&amp;$C10,DemandBreakdown!$A$5:$DM$68,DemandBreakdown!$DM$2,FALSE)</f>
        <v xml:space="preserve">0.98 0.98 0.98 0.98 0.98 0.98 0.98 0.98 0.98 0.98 0.98 0.982 0.984 0.986 0.988 0.99 0.992 0.994 0.996 0.998 1 1 1 1 </v>
      </c>
      <c r="H10" t="str">
        <f>VLOOKUP(H$3&amp;$C10,DemandBreakdown!$A$5:$DM$68,DemandBreakdown!$DM$2,FALSE)</f>
        <v xml:space="preserve">0.75 0.765 0.78 0.795 0.81 0.825 0.84 0.855 0.87 0.885 0.9 0.902 0.904 0.906 0.908 0.91 0.912 0.914 0.916 0.918 0.92 0.92 0.92 0.92 </v>
      </c>
      <c r="I10" t="str">
        <f>VLOOKUP(I$3&amp;$C10,DemandBreakdown!$A$5:$DM$68,DemandBreakdown!$DM$2,FALSE)</f>
        <v xml:space="preserve">0.7 0.71 0.72 0.73 0.74 0.75 0.76 0.77 0.78 0.79 0.8 0.8 0.8 0.8 0.8 0.8 0.8 0.8 0.8 0.8 0.8 0.8 0.8 0.8 </v>
      </c>
      <c r="J10" s="72">
        <f t="shared" si="1"/>
        <v>0.95</v>
      </c>
    </row>
    <row r="11" spans="2:10" x14ac:dyDescent="0.25">
      <c r="B11" t="s">
        <v>78</v>
      </c>
      <c r="C11" t="s">
        <v>29</v>
      </c>
      <c r="D11" t="str">
        <f ca="1">VLOOKUP(D$3&amp;$C11,DemandBreakdown!$A$5:$DL$68,DemandBreakdown!$CN$2,FALSE)</f>
        <v xml:space="preserve">11.7 19.3 28.8 41.1 76.3 94.6 129.3 140.1 154.1 165.7 180.6 191.8 203.5 215.6 228.3 241.4 254.9 268.8 283.2 298 309.7 323.4 476.2 730.8 </v>
      </c>
      <c r="E11" t="str">
        <f ca="1">VLOOKUP(E$3&amp;$C11,DemandBreakdown!$A$5:$DL$68,DemandBreakdown!$CN$2,FALSE)</f>
        <v xml:space="preserve">84.9 82.5 83.6 87.1 122.4 117.6 148.2 148.1 150.2 148.8 149.2 153.5 157.7 161.6 165.4 169 172.4 175.6 178.4 181 181.3 187.1 247.6 336.2 </v>
      </c>
      <c r="F11" t="str">
        <f ca="1">VLOOKUP(F$3&amp;$C11,DemandBreakdown!$A$5:$DL$68,DemandBreakdown!$CN$2,FALSE)</f>
        <v xml:space="preserve">1.8 2 2.4 3 4.9 5.6 8.3 9.7 11.3 12.9 14.7 17 19.5 22.1 24.9 27.9 31 34.4 37.9 41.6 45.1 46.8 66.3 97.4 </v>
      </c>
      <c r="G11" t="str">
        <f>VLOOKUP(G$3&amp;$C11,DemandBreakdown!$A$5:$DM$68,DemandBreakdown!$DM$2,FALSE)</f>
        <v xml:space="preserve">0.98 0.98 0.98 0.98 0.98 0.98 0.98 0.98 0.98 0.98 0.98 0.982 0.984 0.986 0.988 0.99 0.992 0.994 0.996 0.998 1 1 1 1 </v>
      </c>
      <c r="H11" t="str">
        <f>VLOOKUP(H$3&amp;$C11,DemandBreakdown!$A$5:$DM$68,DemandBreakdown!$DM$2,FALSE)</f>
        <v xml:space="preserve">0.81 0.819 0.828 0.837 0.846 0.855 0.864 0.873 0.882 0.891 0.9 0.902 0.904 0.906 0.908 0.91 0.912 0.914 0.916 0.918 0.92 0.92 0.92 0.92 </v>
      </c>
      <c r="I11" t="str">
        <f>VLOOKUP(I$3&amp;$C11,DemandBreakdown!$A$5:$DM$68,DemandBreakdown!$DM$2,FALSE)</f>
        <v xml:space="preserve">0.75 0.755 0.76 0.765 0.77 0.775 0.78 0.785 0.79 0.795 0.8 0.8 0.8 0.8 0.8 0.8 0.8 0.8 0.8 0.8 0.8 0.8 0.8 0.8 </v>
      </c>
      <c r="J11" s="72">
        <f t="shared" si="1"/>
        <v>0.95</v>
      </c>
    </row>
    <row r="12" spans="2:10" x14ac:dyDescent="0.25">
      <c r="B12" t="s">
        <v>79</v>
      </c>
      <c r="C12" t="s">
        <v>80</v>
      </c>
      <c r="D12" t="str">
        <f ca="1">VLOOKUP(D$3&amp;$C12,DemandBreakdown!$A$5:$DL$68,DemandBreakdown!$CN$2,FALSE)</f>
        <v xml:space="preserve">8.9 11.7 15.5 19.7 24.4 32.8 37.5 42.5 47.9 53.7 59.9 63.9 68.2 72.6 77.2 82.1 87.1 92.4 97.9 103.5 108.3 112.8 162.4 243.4 </v>
      </c>
      <c r="E12" t="str">
        <f ca="1">VLOOKUP(E$3&amp;$C12,DemandBreakdown!$A$5:$DL$68,DemandBreakdown!$CN$2,FALSE)</f>
        <v xml:space="preserve">70.1 68.9 71.3 73.6 75.6 85.8 87.9 89.8 91.6 93 94.2 97.6 100.9 104.2 107.4 110.7 113.8 117 120 122.9 124.5 129.7 186.7 279.9 </v>
      </c>
      <c r="F12" t="str">
        <f ca="1">VLOOKUP(F$3&amp;$C12,DemandBreakdown!$A$5:$DL$68,DemandBreakdown!$CN$2,FALSE)</f>
        <v xml:space="preserve">1.4 1.6 1.9 2.2 2.5 3.2 3.9 4.5 5.3 6.1 7 8.1 9.2 10.5 11.8 13.3 14.8 16.4 18.1 20 21.7 22.6 32.5 48.7 </v>
      </c>
      <c r="G12" t="str">
        <f>VLOOKUP(G$3&amp;$C12,DemandBreakdown!$A$5:$DM$68,DemandBreakdown!$DM$2,FALSE)</f>
        <v xml:space="preserve">0.98 0.98 0.98 0.98 0.98 0.98 0.98 0.98 0.98 0.98 0.98 0.982 0.984 0.986 0.988 0.99 0.992 0.994 0.996 0.998 1 1 1 1 </v>
      </c>
      <c r="H12" t="str">
        <f>VLOOKUP(H$3&amp;$C12,DemandBreakdown!$A$5:$DM$68,DemandBreakdown!$DM$2,FALSE)</f>
        <v xml:space="preserve">0.88 0.882 0.884 0.886 0.888 0.89 0.892 0.894 0.896 0.898 0.9 0.902 0.904 0.906 0.908 0.91 0.912 0.914 0.916 0.918 0.92 0.92 0.92 0.92 </v>
      </c>
      <c r="I12" t="str">
        <f>VLOOKUP(I$3&amp;$C12,DemandBreakdown!$A$5:$DM$68,DemandBreakdown!$DM$2,FALSE)</f>
        <v xml:space="preserve">0.8 0.8 0.8 0.8 0.8 0.8 0.8 0.8 0.8 0.8 0.8 0.8 0.8 0.8 0.8 0.8 0.8 0.8 0.8 0.8 0.8 0.8 0.8 0.8 </v>
      </c>
      <c r="J12" s="72">
        <f t="shared" si="1"/>
        <v>0.95</v>
      </c>
    </row>
    <row r="13" spans="2:10" x14ac:dyDescent="0.25">
      <c r="B13" t="s">
        <v>81</v>
      </c>
      <c r="C13" t="s">
        <v>82</v>
      </c>
      <c r="D13" t="str">
        <f ca="1">VLOOKUP(D$3&amp;$C13,DemandBreakdown!$A$5:$DL$68,DemandBreakdown!$CN$2,FALSE)</f>
        <v xml:space="preserve">246.3 540.2 987.4 1238.3 1518.9 1828.8 2092.6 2381.2 2696.9 3041.3 3417.4 3732.7 4018.5 4325.3 4654.7 5008.2 5356.7 5711.9 6071.9 6434.8 6603.7 6875.9 9890.3 14812.6 </v>
      </c>
      <c r="E13" t="str">
        <f ca="1">VLOOKUP(E$3&amp;$C13,DemandBreakdown!$A$5:$DL$68,DemandBreakdown!$CN$2,FALSE)</f>
        <v xml:space="preserve">1946.6 3171.6 4542.6 4619.3 4704.6 4783.2 4909.9 5033.5 5154.1 5269.7 5380.2 5698.2 5947.9 6206.5 6474.5 6751.8 6998.2 7230.2 7445.6 7642.3 7594.2 7907.3 11373.8 17034.5 </v>
      </c>
      <c r="F13" t="str">
        <f ca="1">VLOOKUP(F$3&amp;$C13,DemandBreakdown!$A$5:$DL$68,DemandBreakdown!$CN$2,FALSE)</f>
        <v xml:space="preserve">35.2 66.2 108.8 126.2 146 167.9 204.4 245.2 290.8 341.8 398.5 471.1 544.5 624.9 713.1 809.4 909.5 1014.9 1125.5 1240.6 1320.7 1375.2 1978.1 2962.5 </v>
      </c>
      <c r="G13" t="str">
        <f>VLOOKUP(G$3&amp;$C13,DemandBreakdown!$A$5:$DM$68,DemandBreakdown!$DM$2,FALSE)</f>
        <v xml:space="preserve">0.98 0.98 0.98 0.98 0.98 0.98 0.98 0.98 0.98 0.98 0.98 0.982 0.984 0.986 0.988 0.99 0.992 0.994 0.996 0.998 1 1 1 1 </v>
      </c>
      <c r="H13" t="str">
        <f>VLOOKUP(H$3&amp;$C13,DemandBreakdown!$A$5:$DM$68,DemandBreakdown!$DM$2,FALSE)</f>
        <v xml:space="preserve">0.88 0.882 0.884 0.886 0.888 0.89 0.892 0.894 0.896 0.898 0.9 0.902 0.904 0.906 0.908 0.91 0.912 0.914 0.916 0.918 0.92 0.92 0.92 0.92 </v>
      </c>
      <c r="I13" t="str">
        <f>VLOOKUP(I$3&amp;$C13,DemandBreakdown!$A$5:$DM$68,DemandBreakdown!$DM$2,FALSE)</f>
        <v xml:space="preserve">0.7 0.71 0.72 0.73 0.74 0.75 0.76 0.77 0.78 0.79 0.8 0.8 0.8 0.8 0.8 0.8 0.8 0.8 0.8 0.8 0.8 0.8 0.8 0.8 </v>
      </c>
      <c r="J13" s="72">
        <f t="shared" si="1"/>
        <v>0.95</v>
      </c>
    </row>
    <row r="14" spans="2:10" x14ac:dyDescent="0.25">
      <c r="B14" t="s">
        <v>83</v>
      </c>
      <c r="C14" t="s">
        <v>84</v>
      </c>
      <c r="D14" t="str">
        <f ca="1">VLOOKUP(D$3&amp;$C14,DemandBreakdown!$A$5:$DL$68,DemandBreakdown!$CN$2,FALSE)</f>
        <v xml:space="preserve">26.5 33.8 44.5 53.5 63.5 79.6 100.8 115.7 131.9 149.6 169.2 185.7 202.6 220.9 240.8 262.4 285.2 309.5 335.5 363.2 390.3 410.6 648.1 1076 </v>
      </c>
      <c r="E14" t="str">
        <f ca="1">VLOOKUP(E$3&amp;$C14,DemandBreakdown!$A$5:$DL$68,DemandBreakdown!$CN$2,FALSE)</f>
        <v xml:space="preserve">189.2 198.9 221.3 229.6 238.6 265 299.2 308.5 317.6 326.8 336.6 350.4 363 375.9 389.3 403.1 416.6 430 443.4 456.6 466.8 491.1 775.1 1286.9 </v>
      </c>
      <c r="F14" t="str">
        <f ca="1">VLOOKUP(F$3&amp;$C14,DemandBreakdown!$A$5:$DL$68,DemandBreakdown!$CN$2,FALSE)</f>
        <v xml:space="preserve">4.1 4.8 5.9 6.8 7.8 9.4 12.4 14.7 17.2 19.9 23 25.9 28.8 32 35.6 39.4 43.4 47.8 52.5 57.5 62.5 65.7 103.7 172.2 </v>
      </c>
      <c r="G14" t="str">
        <f>VLOOKUP(G$3&amp;$C14,DemandBreakdown!$A$5:$DM$68,DemandBreakdown!$DM$2,FALSE)</f>
        <v xml:space="preserve">0.98 0.98 0.98 0.98 0.98 0.98 0.98 0.98 0.98 0.98 0.98 0.982 0.984 0.986 0.988 0.99 0.992 0.994 0.996 0.998 1 1 1 1 </v>
      </c>
      <c r="H14" t="str">
        <f>VLOOKUP(H$3&amp;$C14,DemandBreakdown!$A$5:$DM$68,DemandBreakdown!$DM$2,FALSE)</f>
        <v xml:space="preserve">0.795 0.8055 0.816 0.8265 0.837 0.8475 0.858 0.8685 0.879 0.8895 0.9 0.902 0.904 0.906 0.908 0.91 0.912 0.914 0.916 0.918 0.92 0.92 0.92 0.92 </v>
      </c>
      <c r="I14" t="str">
        <f>VLOOKUP(I$3&amp;$C14,DemandBreakdown!$A$5:$DM$68,DemandBreakdown!$DM$2,FALSE)</f>
        <v xml:space="preserve">0.75 0.755 0.76 0.765 0.77 0.775 0.78 0.785 0.79 0.795 0.8 0.8 0.8 0.8 0.8 0.8 0.8 0.8 0.8 0.8 0.8 0.8 0.8 0.8 </v>
      </c>
      <c r="J14" s="72">
        <f t="shared" si="1"/>
        <v>0.95</v>
      </c>
    </row>
    <row r="15" spans="2:10" x14ac:dyDescent="0.25">
      <c r="B15" t="s">
        <v>85</v>
      </c>
      <c r="C15" t="s">
        <v>86</v>
      </c>
      <c r="D15" t="str">
        <f ca="1">VLOOKUP(D$3&amp;$C15,DemandBreakdown!$A$5:$DL$68,DemandBreakdown!$CN$2,FALSE)</f>
        <v xml:space="preserve">0 37.2 37.2 67.1 96.8 96.8 171.3 245.8 320.2 439.5 558.6 559.7 560.9 562 563.2 564.3 565.4 566.6 567.7 568.9 570 570 570 570 </v>
      </c>
      <c r="E15" t="str">
        <f ca="1">VLOOKUP(E$3&amp;$C15,DemandBreakdown!$A$5:$DL$68,DemandBreakdown!$CN$2,FALSE)</f>
        <v xml:space="preserve">12.9 16.4 21.9 30.2 40.9 49.9 60.8 66.8 68.9 69.3 65.5 67.9 70.3 72.6 74.9 77.2 79.5 81.7 83.8 85.8 85.8 88.6 119 165.1 </v>
      </c>
      <c r="F15" t="str">
        <f ca="1">VLOOKUP(F$3&amp;$C15,DemandBreakdown!$A$5:$DL$68,DemandBreakdown!$CN$2,FALSE)</f>
        <v xml:space="preserve">0.2 0.4 0.6 1 1.6 2.4 3.9 5.8 8.3 12.5 20.4 22.8 25.2 27.6 30 32.5 34.9 37.4 39.8 42.3 43.6 45.1 60.5 83.9 </v>
      </c>
      <c r="G15" t="str">
        <f>VLOOKUP(G$3&amp;$C15,DemandBreakdown!$A$5:$DM$68,DemandBreakdown!$DM$2,FALSE)</f>
        <v xml:space="preserve">0.98 0.98 0.98 0.98 0.98 0.98 0.98 0.98 0.98 0.98 0.98 0.982 0.984 0.986 0.988 0.99 0.992 0.994 0.996 0.998 1 1 1 1 </v>
      </c>
      <c r="H15" t="str">
        <f>VLOOKUP(H$3&amp;$C15,DemandBreakdown!$A$5:$DM$68,DemandBreakdown!$DM$2,FALSE)</f>
        <v xml:space="preserve">0.75 0.765 0.78 0.795 0.81 0.825 0.84 0.855 0.87 0.885 0.9 0.902 0.904 0.906 0.908 0.91 0.912 0.914 0.916 0.918 0.92 0.92 0.92 0.92 </v>
      </c>
      <c r="I15" t="str">
        <f>VLOOKUP(I$3&amp;$C15,DemandBreakdown!$A$5:$DM$68,DemandBreakdown!$DM$2,FALSE)</f>
        <v xml:space="preserve">0.7 0.71 0.72 0.73 0.74 0.75 0.76 0.77 0.78 0.79 0.8 0.8 0.8 0.8 0.8 0.8 0.8 0.8 0.8 0.8 0.8 0.8 0.8 0.8 </v>
      </c>
      <c r="J15" s="72">
        <f t="shared" si="1"/>
        <v>0.95</v>
      </c>
    </row>
    <row r="16" spans="2:10" x14ac:dyDescent="0.25">
      <c r="B16" t="s">
        <v>195</v>
      </c>
      <c r="C16" t="s">
        <v>197</v>
      </c>
      <c r="D16" t="str">
        <f ca="1">VLOOKUP(D$3&amp;$C16,DemandBreakdown!$A$5:$DL$68,DemandBreakdown!$CN$2,FALSE)</f>
        <v xml:space="preserve">22.1 30.4 41.1 51.1 62.5 75.4 89.8 105.9 123.7 143.5 165.3 180.8 197.5 215.4 234.6 255.2 277.2 300.7 325.7 352.4 376.4 402.9 741.5 1454.3 </v>
      </c>
      <c r="E16" t="str">
        <f ca="1">VLOOKUP(E$3&amp;$C16,DemandBreakdown!$A$5:$DL$68,DemandBreakdown!$CN$2,FALSE)</f>
        <v xml:space="preserve">160 180.6 206.4 221 236.6 252.5 269.3 286.4 303.8 321.3 339.1 361 384 407.8 432.5 458.3 485 512.6 541 570.3 593.7 628.3 1046.1 1839.7 </v>
      </c>
      <c r="F16" t="str">
        <f ca="1">VLOOKUP(F$3&amp;$C16,DemandBreakdown!$A$5:$DL$68,DemandBreakdown!$CN$2,FALSE)</f>
        <v xml:space="preserve">3.4 4.3 5.5 6.5 7.6 8.9 9.7 10.6 11.5 12.5 13.5 15.5 17.6 20 22.6 25.4 28.5 31.8 35.4 39.3 43 45.7 79.1 145.4 </v>
      </c>
      <c r="G16" t="str">
        <f>VLOOKUP(G$3&amp;$C16,DemandBreakdown!$A$5:$DM$68,DemandBreakdown!$DM$2,FALSE)</f>
        <v xml:space="preserve">0.98 0.98 0.98 0.98 0.98 0.98 0.98 0.98 0.98 0.98 0.98 0.982 0.984 0.986 0.988 0.99 0.992 0.994 0.996 0.998 1 1 1 1 </v>
      </c>
      <c r="H16" t="str">
        <f>VLOOKUP(H$3&amp;$C16,DemandBreakdown!$A$5:$DM$68,DemandBreakdown!$DM$2,FALSE)</f>
        <v xml:space="preserve">0.805 0.8145 0.824 0.8335 0.843 0.8525 0.862 0.8715 0.881 0.8905 0.9 0.902 0.904 0.906 0.908 0.91 0.912 0.914 0.916 0.918 0.92 0.92 0.92 0.92 </v>
      </c>
      <c r="I16" t="str">
        <f>VLOOKUP(I$3&amp;$C16,DemandBreakdown!$A$5:$DM$68,DemandBreakdown!$DM$2,FALSE)</f>
        <v xml:space="preserve">0.75 0.755 0.76 0.765 0.77 0.775 0.78 0.785 0.79 0.795 0.8 0.8 0.8 0.8 0.8 0.8 0.8 0.8 0.8 0.8 0.8 0.8 0.8 0.8 </v>
      </c>
      <c r="J16" s="72">
        <f t="shared" si="1"/>
        <v>0.95</v>
      </c>
    </row>
    <row r="18" spans="2:8" x14ac:dyDescent="0.25">
      <c r="B18" t="s">
        <v>557</v>
      </c>
      <c r="C18">
        <v>2010</v>
      </c>
      <c r="E18" t="s">
        <v>521</v>
      </c>
      <c r="F18" t="s">
        <v>519</v>
      </c>
      <c r="G18" t="s">
        <v>518</v>
      </c>
      <c r="H18" t="s">
        <v>482</v>
      </c>
    </row>
    <row r="19" spans="2:8" x14ac:dyDescent="0.25">
      <c r="B19" t="s">
        <v>63</v>
      </c>
      <c r="C19" t="s">
        <v>64</v>
      </c>
      <c r="D19" s="21"/>
      <c r="E19">
        <f ca="1">SUMIF(DemandBreakdown!$A$5:$A$68,E$18&amp;$C19,OFFSET(DemandBreakdown!$BP$5,0,$C$18-2010,64,1))</f>
        <v>0</v>
      </c>
      <c r="F19">
        <f ca="1">SUMIF(DemandBreakdown!$A$5:$A$68,F$18&amp;$C19,OFFSET(DemandBreakdown!$BP$5,0,$C$18-2010,64,1))</f>
        <v>755.4799999999999</v>
      </c>
      <c r="G19">
        <f ca="1">SUMIF(DemandBreakdown!$A$5:$A$68,G$18&amp;$C19,OFFSET(DemandBreakdown!$BP$5,0,$C$18-2010,64,1))</f>
        <v>17.170000000000002</v>
      </c>
    </row>
    <row r="20" spans="2:8" x14ac:dyDescent="0.25">
      <c r="B20" t="s">
        <v>67</v>
      </c>
      <c r="C20" t="s">
        <v>62</v>
      </c>
      <c r="D20" s="21"/>
      <c r="E20">
        <f ca="1">SUMIF(DemandBreakdown!$A$5:$A$68,E$18&amp;$C20,OFFSET(DemandBreakdown!$BP$5,0,$C$18-2010,64,1))</f>
        <v>0</v>
      </c>
      <c r="F20">
        <f ca="1">SUMIF(DemandBreakdown!$A$5:$A$68,F$18&amp;$C20,OFFSET(DemandBreakdown!$BP$5,0,$C$18-2010,64,1))</f>
        <v>5115.8799999999992</v>
      </c>
      <c r="G20">
        <f ca="1">SUMIF(DemandBreakdown!$A$5:$A$68,G$18&amp;$C20,OFFSET(DemandBreakdown!$BP$5,0,$C$18-2010,64,1))</f>
        <v>116.27</v>
      </c>
    </row>
    <row r="21" spans="2:8" x14ac:dyDescent="0.25">
      <c r="B21" t="s">
        <v>68</v>
      </c>
      <c r="C21" t="s">
        <v>69</v>
      </c>
      <c r="D21" s="21"/>
      <c r="E21">
        <f ca="1">SUMIF(DemandBreakdown!$A$5:$A$68,E$18&amp;$C21,OFFSET(DemandBreakdown!$BP$5,0,$C$18-2010,64,1))</f>
        <v>0</v>
      </c>
      <c r="F21">
        <f ca="1">SUMIF(DemandBreakdown!$A$5:$A$68,F$18&amp;$C21,OFFSET(DemandBreakdown!$BP$5,0,$C$18-2010,64,1))</f>
        <v>192.72</v>
      </c>
      <c r="G21">
        <f ca="1">SUMIF(DemandBreakdown!$A$5:$A$68,G$18&amp;$C21,OFFSET(DemandBreakdown!$BP$5,0,$C$18-2010,64,1))</f>
        <v>4.38</v>
      </c>
    </row>
    <row r="22" spans="2:8" x14ac:dyDescent="0.25">
      <c r="B22" t="s">
        <v>70</v>
      </c>
      <c r="C22" t="s">
        <v>71</v>
      </c>
      <c r="D22" s="21"/>
      <c r="E22">
        <f ca="1">SUMIF(DemandBreakdown!$A$5:$A$68,E$18&amp;$C22,OFFSET(DemandBreakdown!$BP$5,0,$C$18-2010,64,1))</f>
        <v>0</v>
      </c>
      <c r="F22">
        <f ca="1">SUMIF(DemandBreakdown!$A$5:$A$68,F$18&amp;$C22,OFFSET(DemandBreakdown!$BP$5,0,$C$18-2010,64,1))</f>
        <v>7939.36</v>
      </c>
      <c r="G22">
        <f ca="1">SUMIF(DemandBreakdown!$A$5:$A$68,G$18&amp;$C22,OFFSET(DemandBreakdown!$BP$5,0,$C$18-2010,64,1))</f>
        <v>180.44</v>
      </c>
    </row>
    <row r="23" spans="2:8" x14ac:dyDescent="0.25">
      <c r="B23" t="s">
        <v>72</v>
      </c>
      <c r="C23" t="s">
        <v>73</v>
      </c>
      <c r="D23" s="21"/>
      <c r="E23">
        <f ca="1">SUMIF(DemandBreakdown!$A$5:$A$68,E$18&amp;$C23,OFFSET(DemandBreakdown!$BP$5,0,$C$18-2010,64,1))</f>
        <v>0</v>
      </c>
      <c r="F23">
        <f ca="1">SUMIF(DemandBreakdown!$A$5:$A$68,F$18&amp;$C23,OFFSET(DemandBreakdown!$BP$5,0,$C$18-2010,64,1))</f>
        <v>595.84</v>
      </c>
      <c r="G23">
        <f ca="1">SUMIF(DemandBreakdown!$A$5:$A$68,G$18&amp;$C23,OFFSET(DemandBreakdown!$BP$5,0,$C$18-2010,64,1))</f>
        <v>12.16</v>
      </c>
    </row>
    <row r="24" spans="2:8" x14ac:dyDescent="0.25">
      <c r="B24" t="s">
        <v>74</v>
      </c>
      <c r="C24" t="s">
        <v>75</v>
      </c>
      <c r="D24" s="21"/>
      <c r="E24">
        <f ca="1">SUMIF(DemandBreakdown!$A$5:$A$68,E$18&amp;$C24,OFFSET(DemandBreakdown!$BP$5,0,$C$18-2010,64,1))</f>
        <v>0</v>
      </c>
      <c r="F24">
        <f ca="1">SUMIF(DemandBreakdown!$A$5:$A$68,F$18&amp;$C24,OFFSET(DemandBreakdown!$BP$5,0,$C$18-2010,64,1))</f>
        <v>138.18</v>
      </c>
      <c r="G24">
        <f ca="1">SUMIF(DemandBreakdown!$A$5:$A$68,G$18&amp;$C24,OFFSET(DemandBreakdown!$BP$5,0,$C$18-2010,64,1))</f>
        <v>2.82</v>
      </c>
    </row>
    <row r="25" spans="2:8" x14ac:dyDescent="0.25">
      <c r="B25" t="s">
        <v>76</v>
      </c>
      <c r="C25" t="s">
        <v>77</v>
      </c>
      <c r="D25" s="21"/>
      <c r="E25">
        <f ca="1">SUMIF(DemandBreakdown!$A$5:$A$68,E$18&amp;$C25,OFFSET(DemandBreakdown!$BP$5,0,$C$18-2010,64,1))</f>
        <v>0</v>
      </c>
      <c r="F25">
        <f ca="1">SUMIF(DemandBreakdown!$A$5:$A$68,F$18&amp;$C25,OFFSET(DemandBreakdown!$BP$5,0,$C$18-2010,64,1))</f>
        <v>33.32</v>
      </c>
      <c r="G25">
        <f ca="1">SUMIF(DemandBreakdown!$A$5:$A$68,G$18&amp;$C25,OFFSET(DemandBreakdown!$BP$5,0,$C$18-2010,64,1))</f>
        <v>0.68</v>
      </c>
    </row>
    <row r="26" spans="2:8" x14ac:dyDescent="0.25">
      <c r="B26" t="s">
        <v>78</v>
      </c>
      <c r="C26" t="s">
        <v>29</v>
      </c>
      <c r="D26" s="21"/>
      <c r="E26">
        <f ca="1">SUMIF(DemandBreakdown!$A$5:$A$68,E$18&amp;$C26,OFFSET(DemandBreakdown!$BP$5,0,$C$18-2010,64,1))</f>
        <v>0</v>
      </c>
      <c r="F26">
        <f ca="1">SUMIF(DemandBreakdown!$A$5:$A$68,F$18&amp;$C26,OFFSET(DemandBreakdown!$BP$5,0,$C$18-2010,64,1))</f>
        <v>966.24</v>
      </c>
      <c r="G26">
        <f ca="1">SUMIF(DemandBreakdown!$A$5:$A$68,G$18&amp;$C26,OFFSET(DemandBreakdown!$BP$5,0,$C$18-2010,64,1))</f>
        <v>21.96</v>
      </c>
    </row>
    <row r="27" spans="2:8" x14ac:dyDescent="0.25">
      <c r="B27" t="s">
        <v>79</v>
      </c>
      <c r="C27" t="s">
        <v>80</v>
      </c>
      <c r="D27" s="21"/>
      <c r="E27">
        <f ca="1">SUMIF(DemandBreakdown!$A$5:$A$68,E$18&amp;$C27,OFFSET(DemandBreakdown!$BP$5,0,$C$18-2010,64,1))</f>
        <v>0</v>
      </c>
      <c r="F27">
        <f ca="1">SUMIF(DemandBreakdown!$A$5:$A$68,F$18&amp;$C27,OFFSET(DemandBreakdown!$BP$5,0,$C$18-2010,64,1))</f>
        <v>734.8</v>
      </c>
      <c r="G27">
        <f ca="1">SUMIF(DemandBreakdown!$A$5:$A$68,G$18&amp;$C27,OFFSET(DemandBreakdown!$BP$5,0,$C$18-2010,64,1))</f>
        <v>16.7</v>
      </c>
    </row>
    <row r="28" spans="2:8" x14ac:dyDescent="0.25">
      <c r="B28" t="s">
        <v>81</v>
      </c>
      <c r="C28" t="s">
        <v>82</v>
      </c>
      <c r="D28" s="21"/>
      <c r="E28">
        <f ca="1">SUMIF(DemandBreakdown!$A$5:$A$68,E$18&amp;$C28,OFFSET(DemandBreakdown!$BP$5,0,$C$18-2010,64,1))</f>
        <v>0</v>
      </c>
      <c r="F28">
        <f ca="1">SUMIF(DemandBreakdown!$A$5:$A$68,F$18&amp;$C28,OFFSET(DemandBreakdown!$BP$5,0,$C$18-2010,64,1))</f>
        <v>20397.080000000002</v>
      </c>
      <c r="G28">
        <f ca="1">SUMIF(DemandBreakdown!$A$5:$A$68,G$18&amp;$C28,OFFSET(DemandBreakdown!$BP$5,0,$C$18-2010,64,1))</f>
        <v>463.57000000000005</v>
      </c>
    </row>
    <row r="29" spans="2:8" x14ac:dyDescent="0.25">
      <c r="B29" t="s">
        <v>83</v>
      </c>
      <c r="C29" t="s">
        <v>84</v>
      </c>
      <c r="D29" s="21"/>
      <c r="E29">
        <f ca="1">SUMIF(DemandBreakdown!$A$5:$A$68,E$18&amp;$C29,OFFSET(DemandBreakdown!$BP$5,0,$C$18-2010,64,1))</f>
        <v>0</v>
      </c>
      <c r="F29">
        <f ca="1">SUMIF(DemandBreakdown!$A$5:$A$68,F$18&amp;$C29,OFFSET(DemandBreakdown!$BP$5,0,$C$18-2010,64,1))</f>
        <v>2194.7199999999998</v>
      </c>
      <c r="G29">
        <f ca="1">SUMIF(DemandBreakdown!$A$5:$A$68,G$18&amp;$C29,OFFSET(DemandBreakdown!$BP$5,0,$C$18-2010,64,1))</f>
        <v>49.88</v>
      </c>
    </row>
    <row r="30" spans="2:8" x14ac:dyDescent="0.25">
      <c r="B30" t="s">
        <v>85</v>
      </c>
      <c r="C30" t="s">
        <v>86</v>
      </c>
      <c r="D30" s="21"/>
      <c r="E30">
        <f ca="1">SUMIF(DemandBreakdown!$A$5:$A$68,E$18&amp;$C30,OFFSET(DemandBreakdown!$BP$5,0,$C$18-2010,64,1))</f>
        <v>0</v>
      </c>
      <c r="F30">
        <f ca="1">SUMIF(DemandBreakdown!$A$5:$A$68,F$18&amp;$C30,OFFSET(DemandBreakdown!$BP$5,0,$C$18-2010,64,1))</f>
        <v>158.76</v>
      </c>
      <c r="G30">
        <f ca="1">SUMIF(DemandBreakdown!$A$5:$A$68,G$18&amp;$C30,OFFSET(DemandBreakdown!$BP$5,0,$C$18-2010,64,1))</f>
        <v>3.24</v>
      </c>
    </row>
    <row r="31" spans="2:8" x14ac:dyDescent="0.25">
      <c r="B31" t="s">
        <v>195</v>
      </c>
      <c r="C31" t="s">
        <v>197</v>
      </c>
      <c r="D31" s="21"/>
      <c r="E31">
        <f ca="1">SUMIF(DemandBreakdown!$A$5:$A$68,E$18&amp;$C31,OFFSET(DemandBreakdown!$BP$5,0,$C$18-2010,64,1))</f>
        <v>0</v>
      </c>
      <c r="F31">
        <f ca="1">SUMIF(DemandBreakdown!$A$5:$A$68,F$18&amp;$C31,OFFSET(DemandBreakdown!$BP$5,0,$C$18-2010,64,1))</f>
        <v>1833.04</v>
      </c>
      <c r="G31">
        <f ca="1">SUMIF(DemandBreakdown!$A$5:$A$68,G$18&amp;$C31,OFFSET(DemandBreakdown!$BP$5,0,$C$18-2010,64,1))</f>
        <v>41.660000000000004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K75"/>
  <sheetViews>
    <sheetView tabSelected="1" zoomScale="85" zoomScaleNormal="85" workbookViewId="0">
      <pane xSplit="9" ySplit="4" topLeftCell="DA50" activePane="bottomRight" state="frozen"/>
      <selection pane="topRight" activeCell="G1" sqref="G1"/>
      <selection pane="bottomLeft" activeCell="A5" sqref="A5"/>
      <selection pane="bottomRight" activeCell="CP68" sqref="CP68:DK68"/>
    </sheetView>
  </sheetViews>
  <sheetFormatPr defaultRowHeight="15" x14ac:dyDescent="0.25"/>
  <cols>
    <col min="4" max="4" width="26.42578125" customWidth="1"/>
    <col min="117" max="117" width="11.5703125" bestFit="1" customWidth="1"/>
  </cols>
  <sheetData>
    <row r="1" spans="1:141" x14ac:dyDescent="0.25">
      <c r="D1" t="s">
        <v>533</v>
      </c>
      <c r="E1" t="s">
        <v>534</v>
      </c>
      <c r="N1" s="84">
        <v>1000</v>
      </c>
      <c r="BP1" s="84">
        <v>1000</v>
      </c>
    </row>
    <row r="2" spans="1:141" x14ac:dyDescent="0.25">
      <c r="AP2">
        <f>COLUMN()</f>
        <v>42</v>
      </c>
      <c r="BP2">
        <f>BP4</f>
        <v>2010</v>
      </c>
      <c r="BQ2">
        <f t="shared" ref="BQ2:CM2" si="0">BQ4</f>
        <v>2011</v>
      </c>
      <c r="BR2">
        <f t="shared" si="0"/>
        <v>2012</v>
      </c>
      <c r="BS2">
        <f t="shared" si="0"/>
        <v>2013</v>
      </c>
      <c r="BT2">
        <f t="shared" si="0"/>
        <v>2014</v>
      </c>
      <c r="BU2">
        <f t="shared" si="0"/>
        <v>2015</v>
      </c>
      <c r="BV2">
        <f t="shared" si="0"/>
        <v>2016</v>
      </c>
      <c r="BW2">
        <f t="shared" si="0"/>
        <v>2017</v>
      </c>
      <c r="BX2">
        <f t="shared" si="0"/>
        <v>2018</v>
      </c>
      <c r="BY2">
        <f t="shared" si="0"/>
        <v>2019</v>
      </c>
      <c r="BZ2">
        <f t="shared" si="0"/>
        <v>2020</v>
      </c>
      <c r="CA2">
        <f t="shared" si="0"/>
        <v>2021</v>
      </c>
      <c r="CB2">
        <f t="shared" si="0"/>
        <v>2022</v>
      </c>
      <c r="CC2">
        <f t="shared" si="0"/>
        <v>2023</v>
      </c>
      <c r="CD2">
        <f t="shared" si="0"/>
        <v>2024</v>
      </c>
      <c r="CE2">
        <f t="shared" si="0"/>
        <v>2025</v>
      </c>
      <c r="CF2">
        <f t="shared" si="0"/>
        <v>2026</v>
      </c>
      <c r="CG2">
        <f t="shared" si="0"/>
        <v>2027</v>
      </c>
      <c r="CH2">
        <f t="shared" si="0"/>
        <v>2028</v>
      </c>
      <c r="CI2">
        <f t="shared" si="0"/>
        <v>2029</v>
      </c>
      <c r="CJ2">
        <f t="shared" si="0"/>
        <v>2030</v>
      </c>
      <c r="CK2">
        <f t="shared" si="0"/>
        <v>2031</v>
      </c>
      <c r="CL2">
        <f t="shared" si="0"/>
        <v>2040</v>
      </c>
      <c r="CM2">
        <f t="shared" si="0"/>
        <v>2050</v>
      </c>
      <c r="CN2">
        <f>COLUMN()</f>
        <v>92</v>
      </c>
      <c r="DM2">
        <f>COLUMN()</f>
        <v>117</v>
      </c>
    </row>
    <row r="3" spans="1:141" ht="45" x14ac:dyDescent="0.25">
      <c r="E3" s="114" t="s">
        <v>522</v>
      </c>
      <c r="F3" s="114"/>
      <c r="G3" s="114"/>
      <c r="H3" s="114"/>
      <c r="I3" s="114"/>
      <c r="J3" s="114"/>
      <c r="K3" s="114" t="s">
        <v>549</v>
      </c>
      <c r="AJ3" s="114" t="s">
        <v>546</v>
      </c>
      <c r="AK3" s="114" t="s">
        <v>545</v>
      </c>
      <c r="AL3" s="114" t="s">
        <v>544</v>
      </c>
      <c r="AM3" s="114"/>
      <c r="AN3" s="114"/>
      <c r="AO3" s="114"/>
      <c r="AQ3" s="114" t="s">
        <v>552</v>
      </c>
      <c r="BO3" s="114" t="s">
        <v>543</v>
      </c>
      <c r="BP3" t="s">
        <v>550</v>
      </c>
      <c r="CO3" t="s">
        <v>551</v>
      </c>
      <c r="DN3" t="s">
        <v>553</v>
      </c>
    </row>
    <row r="4" spans="1:141" x14ac:dyDescent="0.25">
      <c r="C4" t="str">
        <f>IFERROR(VLOOKUP(D4,'For model'!$B$4:$C$16,2,FALSE),C3)</f>
        <v>SEN</v>
      </c>
      <c r="D4" s="92" t="s">
        <v>83</v>
      </c>
      <c r="E4">
        <v>2010</v>
      </c>
      <c r="F4">
        <v>2015</v>
      </c>
      <c r="G4">
        <v>2020</v>
      </c>
      <c r="H4">
        <v>2030</v>
      </c>
      <c r="I4">
        <v>2050</v>
      </c>
      <c r="K4">
        <v>2010</v>
      </c>
      <c r="L4">
        <f>K4+1</f>
        <v>2011</v>
      </c>
      <c r="M4">
        <f t="shared" ref="M4:AF4" si="1">L4+1</f>
        <v>2012</v>
      </c>
      <c r="N4">
        <f t="shared" si="1"/>
        <v>2013</v>
      </c>
      <c r="O4">
        <f t="shared" si="1"/>
        <v>2014</v>
      </c>
      <c r="P4">
        <f t="shared" si="1"/>
        <v>2015</v>
      </c>
      <c r="Q4">
        <f t="shared" si="1"/>
        <v>2016</v>
      </c>
      <c r="R4">
        <f t="shared" si="1"/>
        <v>2017</v>
      </c>
      <c r="S4">
        <f t="shared" si="1"/>
        <v>2018</v>
      </c>
      <c r="T4">
        <f t="shared" si="1"/>
        <v>2019</v>
      </c>
      <c r="U4">
        <f t="shared" si="1"/>
        <v>2020</v>
      </c>
      <c r="V4">
        <f t="shared" si="1"/>
        <v>2021</v>
      </c>
      <c r="W4">
        <f t="shared" si="1"/>
        <v>2022</v>
      </c>
      <c r="X4">
        <f t="shared" si="1"/>
        <v>2023</v>
      </c>
      <c r="Y4">
        <f t="shared" si="1"/>
        <v>2024</v>
      </c>
      <c r="Z4">
        <f t="shared" si="1"/>
        <v>2025</v>
      </c>
      <c r="AA4">
        <f t="shared" si="1"/>
        <v>2026</v>
      </c>
      <c r="AB4">
        <f t="shared" si="1"/>
        <v>2027</v>
      </c>
      <c r="AC4">
        <f t="shared" si="1"/>
        <v>2028</v>
      </c>
      <c r="AD4">
        <f t="shared" si="1"/>
        <v>2029</v>
      </c>
      <c r="AE4">
        <f t="shared" si="1"/>
        <v>2030</v>
      </c>
      <c r="AF4">
        <f t="shared" si="1"/>
        <v>2031</v>
      </c>
      <c r="AG4">
        <v>2040</v>
      </c>
      <c r="AH4">
        <v>2050</v>
      </c>
      <c r="AL4">
        <f>E4</f>
        <v>2010</v>
      </c>
      <c r="AM4">
        <f>G4</f>
        <v>2020</v>
      </c>
      <c r="AN4">
        <f>H4</f>
        <v>2030</v>
      </c>
      <c r="AO4">
        <f>I4</f>
        <v>2050</v>
      </c>
      <c r="AQ4">
        <v>2010</v>
      </c>
      <c r="AR4">
        <f>AQ4+1</f>
        <v>2011</v>
      </c>
      <c r="AS4">
        <f t="shared" ref="AS4:BL4" si="2">AR4+1</f>
        <v>2012</v>
      </c>
      <c r="AT4">
        <f t="shared" si="2"/>
        <v>2013</v>
      </c>
      <c r="AU4">
        <f t="shared" si="2"/>
        <v>2014</v>
      </c>
      <c r="AV4">
        <f t="shared" si="2"/>
        <v>2015</v>
      </c>
      <c r="AW4">
        <f t="shared" si="2"/>
        <v>2016</v>
      </c>
      <c r="AX4">
        <f t="shared" si="2"/>
        <v>2017</v>
      </c>
      <c r="AY4">
        <f t="shared" si="2"/>
        <v>2018</v>
      </c>
      <c r="AZ4">
        <f t="shared" si="2"/>
        <v>2019</v>
      </c>
      <c r="BA4">
        <f t="shared" si="2"/>
        <v>2020</v>
      </c>
      <c r="BB4">
        <f t="shared" si="2"/>
        <v>2021</v>
      </c>
      <c r="BC4">
        <f t="shared" si="2"/>
        <v>2022</v>
      </c>
      <c r="BD4">
        <f t="shared" si="2"/>
        <v>2023</v>
      </c>
      <c r="BE4">
        <f t="shared" si="2"/>
        <v>2024</v>
      </c>
      <c r="BF4">
        <f t="shared" si="2"/>
        <v>2025</v>
      </c>
      <c r="BG4">
        <f t="shared" si="2"/>
        <v>2026</v>
      </c>
      <c r="BH4">
        <f t="shared" si="2"/>
        <v>2027</v>
      </c>
      <c r="BI4">
        <f t="shared" si="2"/>
        <v>2028</v>
      </c>
      <c r="BJ4">
        <f t="shared" si="2"/>
        <v>2029</v>
      </c>
      <c r="BK4">
        <f t="shared" si="2"/>
        <v>2030</v>
      </c>
      <c r="BL4">
        <f t="shared" si="2"/>
        <v>2031</v>
      </c>
      <c r="BM4">
        <v>2040</v>
      </c>
      <c r="BN4">
        <v>2050</v>
      </c>
      <c r="BP4">
        <f>AQ4</f>
        <v>2010</v>
      </c>
      <c r="BQ4">
        <f>AR4</f>
        <v>2011</v>
      </c>
      <c r="BR4">
        <f t="shared" ref="BR4:CM4" si="3">AS4</f>
        <v>2012</v>
      </c>
      <c r="BS4">
        <f t="shared" si="3"/>
        <v>2013</v>
      </c>
      <c r="BT4">
        <f t="shared" si="3"/>
        <v>2014</v>
      </c>
      <c r="BU4">
        <f t="shared" si="3"/>
        <v>2015</v>
      </c>
      <c r="BV4">
        <f t="shared" si="3"/>
        <v>2016</v>
      </c>
      <c r="BW4">
        <f t="shared" si="3"/>
        <v>2017</v>
      </c>
      <c r="BX4">
        <f t="shared" si="3"/>
        <v>2018</v>
      </c>
      <c r="BY4">
        <f t="shared" si="3"/>
        <v>2019</v>
      </c>
      <c r="BZ4">
        <f t="shared" si="3"/>
        <v>2020</v>
      </c>
      <c r="CA4">
        <f t="shared" si="3"/>
        <v>2021</v>
      </c>
      <c r="CB4">
        <f t="shared" si="3"/>
        <v>2022</v>
      </c>
      <c r="CC4">
        <f t="shared" si="3"/>
        <v>2023</v>
      </c>
      <c r="CD4">
        <f t="shared" si="3"/>
        <v>2024</v>
      </c>
      <c r="CE4">
        <f t="shared" si="3"/>
        <v>2025</v>
      </c>
      <c r="CF4">
        <f t="shared" si="3"/>
        <v>2026</v>
      </c>
      <c r="CG4">
        <f t="shared" si="3"/>
        <v>2027</v>
      </c>
      <c r="CH4">
        <f t="shared" si="3"/>
        <v>2028</v>
      </c>
      <c r="CI4">
        <f t="shared" si="3"/>
        <v>2029</v>
      </c>
      <c r="CJ4">
        <f t="shared" si="3"/>
        <v>2030</v>
      </c>
      <c r="CK4">
        <f t="shared" si="3"/>
        <v>2031</v>
      </c>
      <c r="CL4">
        <f t="shared" si="3"/>
        <v>2040</v>
      </c>
      <c r="CM4">
        <f t="shared" si="3"/>
        <v>2050</v>
      </c>
      <c r="CO4">
        <f>BP4</f>
        <v>2010</v>
      </c>
      <c r="CP4">
        <f t="shared" ref="CP4:DD4" si="4">BQ4</f>
        <v>2011</v>
      </c>
      <c r="CQ4">
        <f t="shared" si="4"/>
        <v>2012</v>
      </c>
      <c r="CR4">
        <f t="shared" si="4"/>
        <v>2013</v>
      </c>
      <c r="CS4">
        <f t="shared" si="4"/>
        <v>2014</v>
      </c>
      <c r="CT4">
        <f t="shared" si="4"/>
        <v>2015</v>
      </c>
      <c r="CU4">
        <f t="shared" si="4"/>
        <v>2016</v>
      </c>
      <c r="CV4">
        <f t="shared" si="4"/>
        <v>2017</v>
      </c>
      <c r="CW4">
        <f t="shared" si="4"/>
        <v>2018</v>
      </c>
      <c r="CX4">
        <f t="shared" si="4"/>
        <v>2019</v>
      </c>
      <c r="CY4">
        <f t="shared" si="4"/>
        <v>2020</v>
      </c>
      <c r="CZ4">
        <f t="shared" si="4"/>
        <v>2021</v>
      </c>
      <c r="DA4">
        <f t="shared" si="4"/>
        <v>2022</v>
      </c>
      <c r="DB4">
        <f t="shared" si="4"/>
        <v>2023</v>
      </c>
      <c r="DC4">
        <f t="shared" si="4"/>
        <v>2024</v>
      </c>
      <c r="DD4">
        <f t="shared" si="4"/>
        <v>2025</v>
      </c>
      <c r="DE4">
        <f>CF4</f>
        <v>2026</v>
      </c>
      <c r="DF4">
        <f t="shared" ref="DF4" si="5">CG4</f>
        <v>2027</v>
      </c>
      <c r="DG4">
        <f t="shared" ref="DG4" si="6">CH4</f>
        <v>2028</v>
      </c>
      <c r="DH4">
        <f>CI4</f>
        <v>2029</v>
      </c>
      <c r="DI4">
        <f t="shared" ref="DI4" si="7">CJ4</f>
        <v>2030</v>
      </c>
      <c r="DJ4">
        <f>CK4</f>
        <v>2031</v>
      </c>
      <c r="DK4">
        <f>CL4</f>
        <v>2040</v>
      </c>
      <c r="DL4">
        <f t="shared" ref="DL4" si="8">CM4</f>
        <v>2050</v>
      </c>
      <c r="DN4">
        <f>AQ4</f>
        <v>2010</v>
      </c>
      <c r="DO4">
        <f t="shared" ref="DO4:EK4" si="9">AR4</f>
        <v>2011</v>
      </c>
      <c r="DP4">
        <f t="shared" si="9"/>
        <v>2012</v>
      </c>
      <c r="DQ4">
        <f t="shared" si="9"/>
        <v>2013</v>
      </c>
      <c r="DR4">
        <f t="shared" si="9"/>
        <v>2014</v>
      </c>
      <c r="DS4">
        <f t="shared" si="9"/>
        <v>2015</v>
      </c>
      <c r="DT4">
        <f t="shared" si="9"/>
        <v>2016</v>
      </c>
      <c r="DU4">
        <f t="shared" si="9"/>
        <v>2017</v>
      </c>
      <c r="DV4">
        <f t="shared" si="9"/>
        <v>2018</v>
      </c>
      <c r="DW4">
        <f t="shared" si="9"/>
        <v>2019</v>
      </c>
      <c r="DX4">
        <f t="shared" si="9"/>
        <v>2020</v>
      </c>
      <c r="DY4">
        <f t="shared" si="9"/>
        <v>2021</v>
      </c>
      <c r="DZ4">
        <f t="shared" si="9"/>
        <v>2022</v>
      </c>
      <c r="EA4">
        <f t="shared" si="9"/>
        <v>2023</v>
      </c>
      <c r="EB4">
        <f t="shared" si="9"/>
        <v>2024</v>
      </c>
      <c r="EC4">
        <f t="shared" si="9"/>
        <v>2025</v>
      </c>
      <c r="ED4">
        <f t="shared" si="9"/>
        <v>2026</v>
      </c>
      <c r="EE4">
        <f t="shared" si="9"/>
        <v>2027</v>
      </c>
      <c r="EF4">
        <f t="shared" si="9"/>
        <v>2028</v>
      </c>
      <c r="EG4">
        <f t="shared" si="9"/>
        <v>2029</v>
      </c>
      <c r="EH4">
        <f t="shared" si="9"/>
        <v>2030</v>
      </c>
      <c r="EI4">
        <f t="shared" si="9"/>
        <v>2031</v>
      </c>
      <c r="EJ4">
        <f t="shared" si="9"/>
        <v>2040</v>
      </c>
      <c r="EK4">
        <f t="shared" si="9"/>
        <v>2050</v>
      </c>
    </row>
    <row r="5" spans="1:141" x14ac:dyDescent="0.25">
      <c r="A5" t="str">
        <f>B5&amp;C5</f>
        <v>Heavy IndustrySEN</v>
      </c>
      <c r="B5" t="s">
        <v>535</v>
      </c>
      <c r="C5" t="str">
        <f>IFERROR(VLOOKUP(D5,'For model'!$B$4:$C$16,2,FALSE),C4)</f>
        <v>SEN</v>
      </c>
      <c r="D5" t="s">
        <v>535</v>
      </c>
      <c r="E5" s="72">
        <v>0.1</v>
      </c>
      <c r="F5" s="72">
        <v>0.2</v>
      </c>
      <c r="G5" s="72">
        <v>0.3</v>
      </c>
      <c r="H5" s="72">
        <v>0.4</v>
      </c>
      <c r="I5" s="72">
        <f>H5</f>
        <v>0.4</v>
      </c>
      <c r="K5" s="72">
        <f>E5</f>
        <v>0.1</v>
      </c>
      <c r="L5" s="72">
        <f>($P5-$K5)/($P$4-$K$4)+K5</f>
        <v>0.12000000000000001</v>
      </c>
      <c r="M5" s="72">
        <f t="shared" ref="M5:O5" si="10">($P5-$K5)/($P$4-$K$4)+L5</f>
        <v>0.14000000000000001</v>
      </c>
      <c r="N5" s="72">
        <f t="shared" si="10"/>
        <v>0.16</v>
      </c>
      <c r="O5" s="72">
        <f t="shared" si="10"/>
        <v>0.18</v>
      </c>
      <c r="P5" s="72">
        <f>F5</f>
        <v>0.2</v>
      </c>
      <c r="Q5" s="72">
        <f>($U5-$P5)/($U$4-$P$4)+P5</f>
        <v>0.22</v>
      </c>
      <c r="R5" s="72">
        <f t="shared" ref="R5:T5" si="11">($U5-$P5)/($U$4-$P$4)+Q5</f>
        <v>0.24</v>
      </c>
      <c r="S5" s="72">
        <f t="shared" si="11"/>
        <v>0.26</v>
      </c>
      <c r="T5" s="72">
        <f t="shared" si="11"/>
        <v>0.28000000000000003</v>
      </c>
      <c r="U5" s="72">
        <f>G5</f>
        <v>0.3</v>
      </c>
      <c r="V5" s="72">
        <f>(AE5-U5)/(AE$4-U$4)+U5</f>
        <v>0.31</v>
      </c>
      <c r="W5" s="72">
        <f>(AE5-U5)/(AE$4-U$4)+V5</f>
        <v>0.32</v>
      </c>
      <c r="X5" s="72">
        <f>(AE5-U5)/(AE$4-U$4)+W5</f>
        <v>0.33</v>
      </c>
      <c r="Y5" s="72">
        <f>(AE5-U5)/(AE$4-U$4)+X5</f>
        <v>0.34</v>
      </c>
      <c r="Z5" s="72">
        <f>(AE5-U5)/(AE$4-U$4)+Y5</f>
        <v>0.35000000000000003</v>
      </c>
      <c r="AA5" s="72">
        <f>(AE5-U5)/(AE$4-U$4)+Z5</f>
        <v>0.36000000000000004</v>
      </c>
      <c r="AB5" s="72">
        <f>(AE5-U5)/(AE$4-U$4)+AA5</f>
        <v>0.37000000000000005</v>
      </c>
      <c r="AC5" s="72">
        <f>(AE5-U5)/(AE$4-U$4)+AB5</f>
        <v>0.38000000000000006</v>
      </c>
      <c r="AD5" s="72">
        <f>(AE5-U5)/(AE$4-U$4)+AC5</f>
        <v>0.39000000000000007</v>
      </c>
      <c r="AE5" s="72">
        <f>H5</f>
        <v>0.4</v>
      </c>
      <c r="AF5" s="72">
        <f>(AH5-AE5)/(AH$4-AE$4)+AE5</f>
        <v>0.4</v>
      </c>
      <c r="AG5" s="72">
        <f>(AE5+AH5)/2</f>
        <v>0.4</v>
      </c>
      <c r="AH5" s="72">
        <f>I5</f>
        <v>0.4</v>
      </c>
      <c r="AJ5" s="115">
        <f ca="1">SUMIF(SourceData!$Y$3:$AK$3,$C4,SourceData!$Y$1:$AK$1)</f>
        <v>0.22539172358376858</v>
      </c>
      <c r="AK5" s="72">
        <v>0.05</v>
      </c>
      <c r="AL5" s="94">
        <v>0.02</v>
      </c>
      <c r="AM5" s="72">
        <f>AL5</f>
        <v>0.02</v>
      </c>
      <c r="AN5" s="72">
        <v>0</v>
      </c>
      <c r="AO5" s="72">
        <v>0</v>
      </c>
      <c r="AP5" s="118" t="str">
        <f>AQ5&amp;" "&amp;AR5&amp;" "&amp;AS5&amp;" "&amp;AT5&amp;" "&amp;AU5&amp;" "&amp;AV5&amp;" "&amp;AW5&amp;" "&amp;AX5&amp;" "&amp;AY5&amp;" "&amp;AZ5&amp;" "&amp;BA5&amp;" "&amp;BB5&amp;" "&amp;BC5&amp;" "&amp;BD5&amp;" "&amp;BE5&amp;" "&amp;BF5&amp;" "&amp;BG5&amp;" "&amp;BH5&amp;" "&amp;BI5&amp;" "&amp;BJ5&amp;" "&amp;BK5&amp;" "&amp;BL5&amp;" "&amp;BM5&amp;" "&amp;BN5&amp;" "</f>
        <v xml:space="preserve">0.02 0.02 0.02 0.02 0.02 0.02 0.02 0.02 0.02 0.02 0.02 0.018 0.016 0.014 0.012 0.01 0.008 0.006 0.004 0.002 0 0 0 0 </v>
      </c>
      <c r="AQ5" s="72">
        <f>AL5</f>
        <v>0.02</v>
      </c>
      <c r="AR5" s="72">
        <f>(BA5-AQ5)/(BA$4-AQ$4)+AQ5</f>
        <v>0.02</v>
      </c>
      <c r="AS5" s="72">
        <f>(BA5-AQ5)/(BA$4-AQ$4)+AR5</f>
        <v>0.02</v>
      </c>
      <c r="AT5" s="72">
        <f>(BA5-AQ5)/(BA$4-AQ$4)+AS5</f>
        <v>0.02</v>
      </c>
      <c r="AU5" s="72">
        <f>(BA5-AQ5)/(BA$4-AQ$4)+AT5</f>
        <v>0.02</v>
      </c>
      <c r="AV5" s="72">
        <f>(BA5-AQ5)/(BA$4-AQ$4)+AU5</f>
        <v>0.02</v>
      </c>
      <c r="AW5" s="72">
        <f>(BA5-AQ5)/(BA$4-AQ$4)+AV5</f>
        <v>0.02</v>
      </c>
      <c r="AX5" s="72">
        <f>(BA5-AQ5)/(BA$4-AQ$4)+AW5</f>
        <v>0.02</v>
      </c>
      <c r="AY5" s="72">
        <f>(BA5-AQ5)/(BA$4-AQ$4)+AX5</f>
        <v>0.02</v>
      </c>
      <c r="AZ5" s="72">
        <f>(BA5-AQ5)/(BA$4-AQ$4)+AY5</f>
        <v>0.02</v>
      </c>
      <c r="BA5" s="72">
        <f>AM5</f>
        <v>0.02</v>
      </c>
      <c r="BB5" s="72">
        <f>(BK5-BA5)/(BK$4-BA$4)+BA5</f>
        <v>1.8000000000000002E-2</v>
      </c>
      <c r="BC5" s="72">
        <f>(BK5-BA5)/(BK$4-BA$4)+BB5</f>
        <v>1.6E-2</v>
      </c>
      <c r="BD5" s="72">
        <f>(BK5-BA5)/(BK$4-BA$4)+BC5</f>
        <v>1.4E-2</v>
      </c>
      <c r="BE5" s="72">
        <f>(BK5-BA5)/(BK$4-BA$4)+BD5</f>
        <v>1.2E-2</v>
      </c>
      <c r="BF5" s="72">
        <f>(BK5-BA5)/(BK$4-BA$4)+BE5</f>
        <v>0.01</v>
      </c>
      <c r="BG5" s="72">
        <f>(BK5-BA5)/(BK$4-BA$4)+BF5</f>
        <v>8.0000000000000002E-3</v>
      </c>
      <c r="BH5" s="72">
        <f>(BK5-BA5)/(BK$4-BA$4)+BG5</f>
        <v>6.0000000000000001E-3</v>
      </c>
      <c r="BI5" s="72">
        <f>(BK5-BA5)/(BK$4-BA$4)+BH5</f>
        <v>4.0000000000000001E-3</v>
      </c>
      <c r="BJ5" s="72">
        <f>(BK5-BA5)/(BK$4-BA$4)+BI5</f>
        <v>2E-3</v>
      </c>
      <c r="BK5" s="72">
        <f>AN5</f>
        <v>0</v>
      </c>
      <c r="BL5" s="72">
        <f>(BN5-BK5)/(BN$4-BK$4)+BK5</f>
        <v>0</v>
      </c>
      <c r="BM5" s="72">
        <f>(BK5+BN5)/2</f>
        <v>0</v>
      </c>
      <c r="BN5" s="72">
        <f>AO5</f>
        <v>0</v>
      </c>
      <c r="BO5">
        <f>SUMIF(SourceData!$BD$3:$BP$3,$C4,SourceData!$BD$1:$BP$1)</f>
        <v>0</v>
      </c>
      <c r="BP5" s="84">
        <f ca="1">IF($BO5,OFFSET(SourceData!$BC$4,MATCH(BP4,SourceData!$BC$5:$BC$28,0),MATCH($C8,SourceData!$BD$3:$BP$3,0)),K5*K8)</f>
        <v>249.4</v>
      </c>
      <c r="BQ5" s="84">
        <f ca="1">IF($BO5,OFFSET(SourceData!$BC$4,MATCH(BQ4,SourceData!$BC$5:$BC$28,0),MATCH($C8,SourceData!$BD$3:$BP$3,0)),L5*L8)</f>
        <v>318.48</v>
      </c>
      <c r="BR5" s="84">
        <f ca="1">IF($BO5,OFFSET(SourceData!$BC$4,MATCH(BR4,SourceData!$BC$5:$BC$28,0),MATCH($C8,SourceData!$BD$3:$BP$3,0)),M5*M8)</f>
        <v>418.74000000000007</v>
      </c>
      <c r="BS5" s="84">
        <f ca="1">IF($BO5,OFFSET(SourceData!$BC$4,MATCH(BS4,SourceData!$BC$5:$BC$28,0),MATCH($C8,SourceData!$BD$3:$BP$3,0)),N5*N8)</f>
        <v>503.52000000000004</v>
      </c>
      <c r="BT5" s="84">
        <f ca="1">IF($BO5,OFFSET(SourceData!$BC$4,MATCH(BT4,SourceData!$BC$5:$BC$28,0),MATCH($C8,SourceData!$BD$3:$BP$3,0)),O5*O8)</f>
        <v>597.41999999999996</v>
      </c>
      <c r="BU5" s="84">
        <f ca="1">IF($BO5,OFFSET(SourceData!$BC$4,MATCH(BU4,SourceData!$BC$5:$BC$28,0),MATCH($C8,SourceData!$BD$3:$BP$3,0)),P5*P8)</f>
        <v>748.80000000000007</v>
      </c>
      <c r="BV5" s="84">
        <f ca="1">IF($BO5,OFFSET(SourceData!$BC$4,MATCH(BV4,SourceData!$BC$5:$BC$28,0),MATCH($C8,SourceData!$BD$3:$BP$3,0)),Q5*Q8)</f>
        <v>948.42</v>
      </c>
      <c r="BW5" s="84">
        <f ca="1">IF($BO5,OFFSET(SourceData!$BC$4,MATCH(BW4,SourceData!$BC$5:$BC$28,0),MATCH($C8,SourceData!$BD$3:$BP$3,0)),R5*R8)</f>
        <v>1088.6399999999999</v>
      </c>
      <c r="BX5" s="84">
        <f ca="1">IF($BO5,OFFSET(SourceData!$BC$4,MATCH(BX4,SourceData!$BC$5:$BC$28,0),MATCH($C8,SourceData!$BD$3:$BP$3,0)),S5*S8)</f>
        <v>1241.24</v>
      </c>
      <c r="BY5" s="84">
        <f ca="1">IF($BO5,OFFSET(SourceData!$BC$4,MATCH(BY4,SourceData!$BC$5:$BC$28,0),MATCH($C8,SourceData!$BD$3:$BP$3,0)),T5*T8)</f>
        <v>1407.2800000000002</v>
      </c>
      <c r="BZ5" s="84">
        <f ca="1">IF($BO5,OFFSET(SourceData!$BC$4,MATCH(BZ4,SourceData!$BC$5:$BC$28,0),MATCH($C8,SourceData!$BD$3:$BP$3,0)),U5*U8)</f>
        <v>1591.8</v>
      </c>
      <c r="CA5" s="84">
        <f ca="1">IF($BO5,OFFSET(SourceData!$BC$4,MATCH(CA4,SourceData!$BC$5:$BC$28,0),MATCH($C8,SourceData!$BD$3:$BP$3,0)),V5*V8)</f>
        <v>1743.44</v>
      </c>
      <c r="CB5" s="84">
        <f ca="1">IF($BO5,OFFSET(SourceData!$BC$4,MATCH(CB4,SourceData!$BC$5:$BC$28,0),MATCH($C8,SourceData!$BD$3:$BP$3,0)),W5*W8)</f>
        <v>1898.56</v>
      </c>
      <c r="CC5" s="84">
        <f ca="1">IF($BO5,OFFSET(SourceData!$BC$4,MATCH(CC4,SourceData!$BC$5:$BC$28,0),MATCH($C8,SourceData!$BD$3:$BP$3,0)),X5*X8)</f>
        <v>2066.13</v>
      </c>
      <c r="CD5" s="84">
        <f ca="1">IF($BO5,OFFSET(SourceData!$BC$4,MATCH(CD4,SourceData!$BC$5:$BC$28,0),MATCH($C8,SourceData!$BD$3:$BP$3,0)),Y5*Y8)</f>
        <v>2247.7400000000002</v>
      </c>
      <c r="CE5" s="84">
        <f ca="1">IF($BO5,OFFSET(SourceData!$BC$4,MATCH(CE4,SourceData!$BC$5:$BC$28,0),MATCH($C8,SourceData!$BD$3:$BP$3,0)),Z5*Z8)</f>
        <v>2444.0500000000002</v>
      </c>
      <c r="CF5" s="84">
        <f ca="1">IF($BO5,OFFSET(SourceData!$BC$4,MATCH(CF4,SourceData!$BC$5:$BC$28,0),MATCH($C8,SourceData!$BD$3:$BP$3,0)),AA5*AA8)</f>
        <v>2651.0280395406066</v>
      </c>
      <c r="CG5" s="84">
        <f ca="1">IF($BO5,OFFSET(SourceData!$BC$4,MATCH(CG4,SourceData!$BC$5:$BC$28,0),MATCH($C8,SourceData!$BD$3:$BP$3,0)),AB5*AB8)</f>
        <v>2871.5810014225121</v>
      </c>
      <c r="CH5" s="84">
        <f ca="1">IF($BO5,OFFSET(SourceData!$BC$4,MATCH(CH4,SourceData!$BC$5:$BC$28,0),MATCH($C8,SourceData!$BD$3:$BP$3,0)),AC5*AC8)</f>
        <v>3106.3333594389842</v>
      </c>
      <c r="CI5" s="84">
        <f ca="1">IF($BO5,OFFSET(SourceData!$BC$4,MATCH(CI4,SourceData!$BC$5:$BC$28,0),MATCH($C8,SourceData!$BD$3:$BP$3,0)),AD5*AD8)</f>
        <v>3355.9201527646724</v>
      </c>
      <c r="CJ5" s="84">
        <f ca="1">IF($BO5,OFFSET(SourceData!$BC$4,MATCH(CJ4,SourceData!$BC$5:$BC$28,0),MATCH($C8,SourceData!$BD$3:$BP$3,0)),AE5*AE8)</f>
        <v>3599.1598538897883</v>
      </c>
      <c r="CK5" s="84">
        <f ca="1">IF($BO5,OFFSET(SourceData!$BC$4,MATCH(CK4,SourceData!$BC$5:$BC$28,0),MATCH($C8,SourceData!$BD$3:$BP$3,0)),AF5*AF8)</f>
        <v>3786.3517432457406</v>
      </c>
      <c r="CL5" s="84">
        <f ca="1">IF($BO5,OFFSET(SourceData!$BC$4,MATCH(CL4,SourceData!$BC$5:$BC$28,0),MATCH($C8,SourceData!$BD$3:$BP$3,0)),AG5*AG8)</f>
        <v>5975.8452302368851</v>
      </c>
      <c r="CM5" s="84">
        <f ca="1">IF($BO5,OFFSET(SourceData!$BC$4,MATCH(CM4,SourceData!$BC$5:$BC$28,0),MATCH($C8,SourceData!$BD$3:$BP$3,0)),AH5*AH8)</f>
        <v>9921.9616981309118</v>
      </c>
      <c r="CN5" s="118" t="str">
        <f t="shared" ref="CN5:CN7" ca="1" si="12">CO5&amp;" "&amp;CP5&amp;" "&amp;CQ5&amp;" "&amp;CR5&amp;" "&amp;CS5&amp;" "&amp;CT5&amp;" "&amp;CU5&amp;" "&amp;CV5&amp;" "&amp;CW5&amp;" "&amp;CX5&amp;" "&amp;CY5&amp;" "&amp;CZ5&amp;" "&amp;DA5&amp;" "&amp;DB5&amp;" "&amp;DC5&amp;" "&amp;DD5&amp;" "&amp;DE5&amp;" "&amp;DF5&amp;" "&amp;DG5&amp;" "&amp;DH5&amp;" "&amp;DI5&amp;" "&amp;DJ5&amp;" "&amp;DK5&amp;" "&amp;DL5&amp;" "</f>
        <v xml:space="preserve">26.5 33.8 44.5 53.5 63.5 79.6 100.8 115.7 131.9 149.6 169.2 185.7 202.6 220.9 240.8 262.4 285.2 309.5 335.5 363.2 390.3 410.6 648.1 1076 </v>
      </c>
      <c r="CO5" s="117">
        <f ca="1">ROUND(BP5*(1-AQ5)*(1-$AK5)/8.76,1)</f>
        <v>26.5</v>
      </c>
      <c r="CP5" s="117">
        <f t="shared" ref="CP5:DD7" ca="1" si="13">ROUND(BQ5*(1-AR5)*(1-$AK5)/8.76,1)</f>
        <v>33.799999999999997</v>
      </c>
      <c r="CQ5" s="117">
        <f t="shared" ca="1" si="13"/>
        <v>44.5</v>
      </c>
      <c r="CR5" s="117">
        <f t="shared" ca="1" si="13"/>
        <v>53.5</v>
      </c>
      <c r="CS5" s="117">
        <f t="shared" ca="1" si="13"/>
        <v>63.5</v>
      </c>
      <c r="CT5" s="117">
        <f t="shared" ca="1" si="13"/>
        <v>79.599999999999994</v>
      </c>
      <c r="CU5" s="117">
        <f t="shared" ca="1" si="13"/>
        <v>100.8</v>
      </c>
      <c r="CV5" s="117">
        <f t="shared" ca="1" si="13"/>
        <v>115.7</v>
      </c>
      <c r="CW5" s="117">
        <f t="shared" ca="1" si="13"/>
        <v>131.9</v>
      </c>
      <c r="CX5" s="117">
        <f t="shared" ca="1" si="13"/>
        <v>149.6</v>
      </c>
      <c r="CY5" s="117">
        <f t="shared" ca="1" si="13"/>
        <v>169.2</v>
      </c>
      <c r="CZ5" s="117">
        <f t="shared" ca="1" si="13"/>
        <v>185.7</v>
      </c>
      <c r="DA5" s="117">
        <f t="shared" ca="1" si="13"/>
        <v>202.6</v>
      </c>
      <c r="DB5" s="117">
        <f t="shared" ca="1" si="13"/>
        <v>220.9</v>
      </c>
      <c r="DC5" s="117">
        <f t="shared" ca="1" si="13"/>
        <v>240.8</v>
      </c>
      <c r="DD5" s="117">
        <f t="shared" ca="1" si="13"/>
        <v>262.39999999999998</v>
      </c>
      <c r="DE5" s="117">
        <f ca="1">ROUND(CF5*(1-BG5)*(1-$AK5)/8.76,1)</f>
        <v>285.2</v>
      </c>
      <c r="DF5" s="117">
        <f t="shared" ref="DF5:DF7" ca="1" si="14">ROUND(CG5*(1-BH5)*(1-$AK5)/8.76,1)</f>
        <v>309.5</v>
      </c>
      <c r="DG5" s="117">
        <f t="shared" ref="DG5:DG7" ca="1" si="15">ROUND(CH5*(1-BI5)*(1-$AK5)/8.76,1)</f>
        <v>335.5</v>
      </c>
      <c r="DH5" s="117">
        <f ca="1">ROUND(CI5*(1-BJ5)*(1-$AK5)/8.76,1)</f>
        <v>363.2</v>
      </c>
      <c r="DI5" s="117">
        <f t="shared" ref="DI5:DJ7" ca="1" si="16">ROUND(CJ5*(1-BK5)*(1-$AK5)/8.76,1)</f>
        <v>390.3</v>
      </c>
      <c r="DJ5" s="117">
        <f ca="1">ROUND(CK5*(1-BL5)*(1-$AK5)/8.76,1)</f>
        <v>410.6</v>
      </c>
      <c r="DK5" s="117">
        <f ca="1">ROUND(CL5*(1-BM5)*(1-$AK5)/8.76,1)</f>
        <v>648.1</v>
      </c>
      <c r="DL5" s="117">
        <f t="shared" ref="DL5:DL7" ca="1" si="17">ROUND(CM5*(1-BN5)*(1-$AK5)/8.76,1)</f>
        <v>1076</v>
      </c>
      <c r="DM5" s="118" t="str">
        <f t="shared" ref="DM5:DM7" si="18">DN5&amp;" "&amp;DO5&amp;" "&amp;DP5&amp;" "&amp;DQ5&amp;" "&amp;DR5&amp;" "&amp;DS5&amp;" "&amp;DT5&amp;" "&amp;DU5&amp;" "&amp;DV5&amp;" "&amp;DW5&amp;" "&amp;DX5&amp;" "&amp;DY5&amp;" "&amp;DZ5&amp;" "&amp;EA5&amp;" "&amp;EB5&amp;" "&amp;EC5&amp;" "&amp;ED5&amp;" "&amp;EE5&amp;" "&amp;EF5&amp;" "&amp;EG5&amp;" "&amp;EH5&amp;" "&amp;EI5&amp;" "&amp;EJ5&amp;" "&amp;EK5&amp;" "</f>
        <v xml:space="preserve">0.98 0.98 0.98 0.98 0.98 0.98 0.98 0.98 0.98 0.98 0.98 0.982 0.984 0.986 0.988 0.99 0.992 0.994 0.996 0.998 1 1 1 1 </v>
      </c>
      <c r="DN5" s="72">
        <f>1-AQ5</f>
        <v>0.98</v>
      </c>
      <c r="DO5" s="72">
        <f t="shared" ref="DO5:EK5" si="19">1-AR5</f>
        <v>0.98</v>
      </c>
      <c r="DP5" s="72">
        <f t="shared" si="19"/>
        <v>0.98</v>
      </c>
      <c r="DQ5" s="72">
        <f t="shared" si="19"/>
        <v>0.98</v>
      </c>
      <c r="DR5" s="72">
        <f t="shared" si="19"/>
        <v>0.98</v>
      </c>
      <c r="DS5" s="72">
        <f t="shared" si="19"/>
        <v>0.98</v>
      </c>
      <c r="DT5" s="72">
        <f t="shared" si="19"/>
        <v>0.98</v>
      </c>
      <c r="DU5" s="72">
        <f t="shared" si="19"/>
        <v>0.98</v>
      </c>
      <c r="DV5" s="72">
        <f t="shared" si="19"/>
        <v>0.98</v>
      </c>
      <c r="DW5" s="72">
        <f t="shared" si="19"/>
        <v>0.98</v>
      </c>
      <c r="DX5" s="72">
        <f t="shared" si="19"/>
        <v>0.98</v>
      </c>
      <c r="DY5" s="72">
        <f t="shared" si="19"/>
        <v>0.98199999999999998</v>
      </c>
      <c r="DZ5" s="72">
        <f t="shared" si="19"/>
        <v>0.98399999999999999</v>
      </c>
      <c r="EA5" s="72">
        <f t="shared" si="19"/>
        <v>0.98599999999999999</v>
      </c>
      <c r="EB5" s="72">
        <f t="shared" si="19"/>
        <v>0.98799999999999999</v>
      </c>
      <c r="EC5" s="72">
        <f t="shared" si="19"/>
        <v>0.99</v>
      </c>
      <c r="ED5" s="72">
        <f t="shared" si="19"/>
        <v>0.99199999999999999</v>
      </c>
      <c r="EE5" s="72">
        <f t="shared" si="19"/>
        <v>0.99399999999999999</v>
      </c>
      <c r="EF5" s="72">
        <f t="shared" si="19"/>
        <v>0.996</v>
      </c>
      <c r="EG5" s="72">
        <f t="shared" si="19"/>
        <v>0.998</v>
      </c>
      <c r="EH5" s="72">
        <f t="shared" si="19"/>
        <v>1</v>
      </c>
      <c r="EI5" s="72">
        <f t="shared" si="19"/>
        <v>1</v>
      </c>
      <c r="EJ5" s="72">
        <f t="shared" si="19"/>
        <v>1</v>
      </c>
      <c r="EK5" s="72">
        <f t="shared" si="19"/>
        <v>1</v>
      </c>
    </row>
    <row r="6" spans="1:141" x14ac:dyDescent="0.25">
      <c r="A6" t="str">
        <f t="shared" ref="A6:A68" si="20">B6&amp;C6</f>
        <v>UrbanSEN</v>
      </c>
      <c r="B6" t="s">
        <v>519</v>
      </c>
      <c r="C6" t="str">
        <f>IFERROR(VLOOKUP(D6,'For model'!$B$4:$C$16,2,FALSE),C5)</f>
        <v>SEN</v>
      </c>
      <c r="D6" t="s">
        <v>536</v>
      </c>
      <c r="E6" s="72">
        <f>1-E5-E7</f>
        <v>0.88</v>
      </c>
      <c r="F6" s="72">
        <f>1-F5-F7</f>
        <v>0.77</v>
      </c>
      <c r="G6" s="72">
        <f t="shared" ref="G6:H6" si="21">1-G5-G7</f>
        <v>0.64999999999999991</v>
      </c>
      <c r="H6" s="72">
        <f t="shared" si="21"/>
        <v>0.52</v>
      </c>
      <c r="I6" s="72">
        <f t="shared" ref="I6" si="22">1-I5-I7</f>
        <v>0.52</v>
      </c>
      <c r="K6" s="72">
        <f t="shared" ref="K6:K7" si="23">E6</f>
        <v>0.88</v>
      </c>
      <c r="L6" s="72">
        <f t="shared" ref="L6:O6" si="24">($P6-$K6)/($P$4-$K$4)+K6</f>
        <v>0.85799999999999998</v>
      </c>
      <c r="M6" s="72">
        <f t="shared" si="24"/>
        <v>0.83599999999999997</v>
      </c>
      <c r="N6" s="72">
        <f t="shared" si="24"/>
        <v>0.81399999999999995</v>
      </c>
      <c r="O6" s="72">
        <f t="shared" si="24"/>
        <v>0.79199999999999993</v>
      </c>
      <c r="P6" s="72">
        <f t="shared" ref="P6:P7" si="25">F6</f>
        <v>0.77</v>
      </c>
      <c r="Q6" s="72">
        <f t="shared" ref="Q6:T6" si="26">($U6-$P6)/($U$4-$P$4)+P6</f>
        <v>0.746</v>
      </c>
      <c r="R6" s="72">
        <f t="shared" si="26"/>
        <v>0.72199999999999998</v>
      </c>
      <c r="S6" s="72">
        <f t="shared" si="26"/>
        <v>0.69799999999999995</v>
      </c>
      <c r="T6" s="72">
        <f t="shared" si="26"/>
        <v>0.67399999999999993</v>
      </c>
      <c r="U6" s="72">
        <f t="shared" ref="U6:U7" si="27">G6</f>
        <v>0.64999999999999991</v>
      </c>
      <c r="V6" s="72">
        <f t="shared" ref="V6:V7" si="28">(AE6-U6)/(AE$4-U$4)+U6</f>
        <v>0.6369999999999999</v>
      </c>
      <c r="W6" s="72">
        <f t="shared" ref="W6:W7" si="29">(AE6-U6)/(AE$4-U$4)+V6</f>
        <v>0.62399999999999989</v>
      </c>
      <c r="X6" s="72">
        <f t="shared" ref="X6:X7" si="30">(AE6-U6)/(AE$4-U$4)+W6</f>
        <v>0.61099999999999988</v>
      </c>
      <c r="Y6" s="72">
        <f t="shared" ref="Y6:Y7" si="31">(AE6-U6)/(AE$4-U$4)+X6</f>
        <v>0.59799999999999986</v>
      </c>
      <c r="Z6" s="72">
        <f t="shared" ref="Z6:Z7" si="32">(AE6-U6)/(AE$4-U$4)+Y6</f>
        <v>0.58499999999999985</v>
      </c>
      <c r="AA6" s="72">
        <f t="shared" ref="AA6:AA7" si="33">(AE6-U6)/(AE$4-U$4)+Z6</f>
        <v>0.57199999999999984</v>
      </c>
      <c r="AB6" s="72">
        <f t="shared" ref="AB6:AB7" si="34">(AE6-U6)/(AE$4-U$4)+AA6</f>
        <v>0.55899999999999983</v>
      </c>
      <c r="AC6" s="72">
        <f t="shared" ref="AC6:AC7" si="35">(AE6-U6)/(AE$4-U$4)+AB6</f>
        <v>0.54599999999999982</v>
      </c>
      <c r="AD6" s="72">
        <f t="shared" ref="AD6:AD7" si="36">(AE6-U6)/(AE$4-U$4)+AC6</f>
        <v>0.53299999999999981</v>
      </c>
      <c r="AE6" s="72">
        <f t="shared" ref="AE6:AE7" si="37">H6</f>
        <v>0.52</v>
      </c>
      <c r="AF6" s="72">
        <f>(AH6-AE6)/(AH$4-AE$4)+AE6</f>
        <v>0.52</v>
      </c>
      <c r="AG6" s="72">
        <f t="shared" ref="AG6:AG7" si="38">(AE6+AH6)/2</f>
        <v>0.52</v>
      </c>
      <c r="AH6" s="72">
        <f>I6</f>
        <v>0.52</v>
      </c>
      <c r="AJ6" s="72" t="s">
        <v>548</v>
      </c>
      <c r="AK6" s="72">
        <f>AK5</f>
        <v>0.05</v>
      </c>
      <c r="AL6" s="111">
        <v>0.20499999999999999</v>
      </c>
      <c r="AM6" s="72">
        <v>0.1</v>
      </c>
      <c r="AN6" s="72">
        <v>0.08</v>
      </c>
      <c r="AO6" s="72">
        <f>AN6</f>
        <v>0.08</v>
      </c>
      <c r="AP6" s="118" t="str">
        <f>AQ6&amp;" "&amp;AR6&amp;" "&amp;AS6&amp;" "&amp;AT6&amp;" "&amp;AU6&amp;" "&amp;AV6&amp;" "&amp;AW6&amp;" "&amp;AX6&amp;" "&amp;AY6&amp;" "&amp;AZ6&amp;" "&amp;BA6&amp;" "&amp;BB6&amp;" "&amp;BC6&amp;" "&amp;BD6&amp;" "&amp;BE6&amp;" "&amp;BF6&amp;" "&amp;BG6&amp;" "&amp;BH6&amp;" "&amp;BI6&amp;" "&amp;BJ6&amp;" "&amp;BK6&amp;" "&amp;BL6&amp;" "&amp;BM6&amp;" "&amp;BN6&amp;" "</f>
        <v xml:space="preserve">0.205 0.1945 0.184 0.1735 0.163 0.1525 0.142 0.1315 0.121 0.1105 0.1 0.098 0.096 0.094 0.092 0.09 0.088 0.086 0.084 0.082 0.08 0.08 0.08 0.08 </v>
      </c>
      <c r="AQ6" s="72">
        <f t="shared" ref="AQ6:AQ7" si="39">AL6</f>
        <v>0.20499999999999999</v>
      </c>
      <c r="AR6" s="72">
        <f t="shared" ref="AR6:AR7" si="40">(BA6-AQ6)/(BA$4-AQ$4)+AQ6</f>
        <v>0.19449999999999998</v>
      </c>
      <c r="AS6" s="72">
        <f t="shared" ref="AS6:AS7" si="41">(BA6-AQ6)/(BA$4-AQ$4)+AR6</f>
        <v>0.18399999999999997</v>
      </c>
      <c r="AT6" s="72">
        <f t="shared" ref="AT6:AT7" si="42">(BA6-AQ6)/(BA$4-AQ$4)+AS6</f>
        <v>0.17349999999999996</v>
      </c>
      <c r="AU6" s="72">
        <f t="shared" ref="AU6:AU7" si="43">(BA6-AQ6)/(BA$4-AQ$4)+AT6</f>
        <v>0.16299999999999995</v>
      </c>
      <c r="AV6" s="72">
        <f t="shared" ref="AV6:AV7" si="44">(BA6-AQ6)/(BA$4-AQ$4)+AU6</f>
        <v>0.15249999999999994</v>
      </c>
      <c r="AW6" s="72">
        <f t="shared" ref="AW6:AW7" si="45">(BA6-AQ6)/(BA$4-AQ$4)+AV6</f>
        <v>0.14199999999999993</v>
      </c>
      <c r="AX6" s="72">
        <f t="shared" ref="AX6:AX7" si="46">(BA6-AQ6)/(BA$4-AQ$4)+AW6</f>
        <v>0.13149999999999992</v>
      </c>
      <c r="AY6" s="72">
        <f t="shared" ref="AY6:AY7" si="47">(BA6-AQ6)/(BA$4-AQ$4)+AX6</f>
        <v>0.12099999999999993</v>
      </c>
      <c r="AZ6" s="72">
        <f t="shared" ref="AZ6:AZ7" si="48">(BA6-AQ6)/(BA$4-AQ$4)+AY6</f>
        <v>0.11049999999999993</v>
      </c>
      <c r="BA6" s="72">
        <f t="shared" ref="BA6:BA7" si="49">AM6</f>
        <v>0.1</v>
      </c>
      <c r="BB6" s="72">
        <f t="shared" ref="BB6:BB7" si="50">(BK6-BA6)/(BK$4-BA$4)+BA6</f>
        <v>9.8000000000000004E-2</v>
      </c>
      <c r="BC6" s="72">
        <f t="shared" ref="BC6:BC7" si="51">(BK6-BA6)/(BK$4-BA$4)+BB6</f>
        <v>9.6000000000000002E-2</v>
      </c>
      <c r="BD6" s="72">
        <f t="shared" ref="BD6:BD7" si="52">(BK6-BA6)/(BK$4-BA$4)+BC6</f>
        <v>9.4E-2</v>
      </c>
      <c r="BE6" s="72">
        <f t="shared" ref="BE6:BE7" si="53">(BK6-BA6)/(BK$4-BA$4)+BD6</f>
        <v>9.1999999999999998E-2</v>
      </c>
      <c r="BF6" s="72">
        <f t="shared" ref="BF6:BF7" si="54">(BK6-BA6)/(BK$4-BA$4)+BE6</f>
        <v>0.09</v>
      </c>
      <c r="BG6" s="72">
        <f t="shared" ref="BG6:BG7" si="55">(BK6-BA6)/(BK$4-BA$4)+BF6</f>
        <v>8.7999999999999995E-2</v>
      </c>
      <c r="BH6" s="72">
        <f t="shared" ref="BH6:BH7" si="56">(BK6-BA6)/(BK$4-BA$4)+BG6</f>
        <v>8.5999999999999993E-2</v>
      </c>
      <c r="BI6" s="72">
        <f t="shared" ref="BI6:BI7" si="57">(BK6-BA6)/(BK$4-BA$4)+BH6</f>
        <v>8.3999999999999991E-2</v>
      </c>
      <c r="BJ6" s="72">
        <f t="shared" ref="BJ6:BJ7" si="58">(BK6-BA6)/(BK$4-BA$4)+BI6</f>
        <v>8.199999999999999E-2</v>
      </c>
      <c r="BK6" s="72">
        <f t="shared" ref="BK6:BK7" si="59">AN6</f>
        <v>0.08</v>
      </c>
      <c r="BL6" s="72">
        <f>(BN6-BK6)/(BN$4-BK$4)+BK6</f>
        <v>0.08</v>
      </c>
      <c r="BM6" s="72">
        <f t="shared" ref="BM6:BM7" si="60">(BK6+BN6)/2</f>
        <v>0.08</v>
      </c>
      <c r="BN6" s="72">
        <f>AO6</f>
        <v>0.08</v>
      </c>
      <c r="BP6" s="84">
        <f ca="1">K6/(K6+K7)*(K8-BP5)</f>
        <v>2194.7199999999998</v>
      </c>
      <c r="BQ6" s="84">
        <f t="shared" ref="BQ6" ca="1" si="61">L6/(L6+L7)*(L8-BQ5)</f>
        <v>2277.1320000000001</v>
      </c>
      <c r="BR6" s="84">
        <f t="shared" ref="BR6" ca="1" si="62">M6/(M6+M7)*(M8-BR5)</f>
        <v>2500.4759999999997</v>
      </c>
      <c r="BS6" s="84">
        <f t="shared" ref="BS6" ca="1" si="63">N6/(N6+N7)*(N8-BS5)</f>
        <v>2561.6579999999999</v>
      </c>
      <c r="BT6" s="84">
        <f t="shared" ref="BT6" ca="1" si="64">O6/(O6+O7)*(O8-BT5)</f>
        <v>2628.6479999999997</v>
      </c>
      <c r="BU6" s="84">
        <f t="shared" ref="BU6" ca="1" si="65">P6/(P6+P7)*(P8-BU5)</f>
        <v>2882.88</v>
      </c>
      <c r="BV6" s="84">
        <f t="shared" ref="BV6" ca="1" si="66">Q6/(Q6+Q7)*(Q8-BV5)</f>
        <v>3216.0059999999999</v>
      </c>
      <c r="BW6" s="84">
        <f t="shared" ref="BW6" ca="1" si="67">R6/(R6+R7)*(R8-BW5)</f>
        <v>3274.9920000000002</v>
      </c>
      <c r="BX6" s="84">
        <f t="shared" ref="BX6" ca="1" si="68">S6/(S6+S7)*(S8-BX5)</f>
        <v>3332.252</v>
      </c>
      <c r="BY6" s="84">
        <f t="shared" ref="BY6" ca="1" si="69">T6/(T6+T7)*(T8-BY5)</f>
        <v>3387.5239999999994</v>
      </c>
      <c r="BZ6" s="84">
        <f t="shared" ref="BZ6" ca="1" si="70">U6/(U6+U7)*(U8-BZ5)</f>
        <v>3448.8999999999996</v>
      </c>
      <c r="CA6" s="84">
        <f t="shared" ref="CA6" ca="1" si="71">V6/(V6+V7)*(V8-CA5)</f>
        <v>3582.4879999999998</v>
      </c>
      <c r="CB6" s="84">
        <f t="shared" ref="CB6" ca="1" si="72">W6/(W6+W7)*(W8-CB5)</f>
        <v>3702.192</v>
      </c>
      <c r="CC6" s="84">
        <f t="shared" ref="CC6" ca="1" si="73">X6/(X6+X7)*(X8-CC5)</f>
        <v>3825.4709999999995</v>
      </c>
      <c r="CD6" s="84">
        <f t="shared" ref="CD6" ca="1" si="74">Y6/(Y6+Y7)*(Y8-CD5)</f>
        <v>3953.3780000000002</v>
      </c>
      <c r="CE6" s="84">
        <f t="shared" ref="CE6" ca="1" si="75">Z6/(Z6+Z7)*(Z8-CE5)</f>
        <v>4085.0549999999994</v>
      </c>
      <c r="CF6" s="84">
        <f t="shared" ref="CF6" ca="1" si="76">AA6/(AA6+AA7)*(AA8-CF5)</f>
        <v>4212.1889961589632</v>
      </c>
      <c r="CG6" s="84">
        <f t="shared" ref="CG6" ca="1" si="77">AB6/(AB6+AB7)*(AB8-CG5)</f>
        <v>4338.4156210680649</v>
      </c>
      <c r="CH6" s="84">
        <f t="shared" ref="CH6" ca="1" si="78">AC6/(AC6+AC7)*(AC8-CH5)</f>
        <v>4463.3105638254856</v>
      </c>
      <c r="CI6" s="84">
        <f t="shared" ref="CI6" ca="1" si="79">AD6/(AD6+AD7)*(AD8-CI5)</f>
        <v>4586.4242087783832</v>
      </c>
      <c r="CJ6" s="84">
        <f ca="1">AE6/(AE6+AE7)*(AE8-CJ5)</f>
        <v>4678.907810056724</v>
      </c>
      <c r="CK6" s="84">
        <f t="shared" ref="CK6" ca="1" si="80">AF6/(AF6+AF7)*(AF8-CK5)</f>
        <v>4922.2572662194616</v>
      </c>
      <c r="CL6" s="84">
        <f t="shared" ref="CL6" ca="1" si="81">AG6/(AG6+AG7)*(AG8-CL5)</f>
        <v>7768.5987993079507</v>
      </c>
      <c r="CM6" s="84">
        <f t="shared" ref="CM6" ca="1" si="82">AH6/(AH6+AH7)*(AH8-CM5)</f>
        <v>12898.550207570184</v>
      </c>
      <c r="CN6" s="118" t="str">
        <f t="shared" ca="1" si="12"/>
        <v xml:space="preserve">189.2 198.9 221.3 229.6 238.6 265 299.2 308.5 317.6 326.8 336.6 350.4 363 375.9 389.3 403.1 416.6 430 443.4 456.6 466.8 491.1 775.1 1286.9 </v>
      </c>
      <c r="CO6" s="117">
        <f t="shared" ref="CO6:CO7" ca="1" si="83">ROUND(BP6*(1-AQ6)*(1-$AK6)/8.76,1)</f>
        <v>189.2</v>
      </c>
      <c r="CP6" s="117">
        <f t="shared" ca="1" si="13"/>
        <v>198.9</v>
      </c>
      <c r="CQ6" s="117">
        <f t="shared" ca="1" si="13"/>
        <v>221.3</v>
      </c>
      <c r="CR6" s="117">
        <f t="shared" ca="1" si="13"/>
        <v>229.6</v>
      </c>
      <c r="CS6" s="117">
        <f t="shared" ca="1" si="13"/>
        <v>238.6</v>
      </c>
      <c r="CT6" s="117">
        <f t="shared" ca="1" si="13"/>
        <v>265</v>
      </c>
      <c r="CU6" s="117">
        <f t="shared" ca="1" si="13"/>
        <v>299.2</v>
      </c>
      <c r="CV6" s="117">
        <f t="shared" ca="1" si="13"/>
        <v>308.5</v>
      </c>
      <c r="CW6" s="117">
        <f t="shared" ca="1" si="13"/>
        <v>317.60000000000002</v>
      </c>
      <c r="CX6" s="117">
        <f t="shared" ca="1" si="13"/>
        <v>326.8</v>
      </c>
      <c r="CY6" s="117">
        <f t="shared" ca="1" si="13"/>
        <v>336.6</v>
      </c>
      <c r="CZ6" s="117">
        <f t="shared" ca="1" si="13"/>
        <v>350.4</v>
      </c>
      <c r="DA6" s="117">
        <f t="shared" ca="1" si="13"/>
        <v>363</v>
      </c>
      <c r="DB6" s="117">
        <f t="shared" ca="1" si="13"/>
        <v>375.9</v>
      </c>
      <c r="DC6" s="117">
        <f t="shared" ca="1" si="13"/>
        <v>389.3</v>
      </c>
      <c r="DD6" s="117">
        <f t="shared" ca="1" si="13"/>
        <v>403.1</v>
      </c>
      <c r="DE6" s="117">
        <f t="shared" ref="DE6:DE7" ca="1" si="84">ROUND(CF6*(1-BG6)*(1-$AK6)/8.76,1)</f>
        <v>416.6</v>
      </c>
      <c r="DF6" s="117">
        <f t="shared" ca="1" si="14"/>
        <v>430</v>
      </c>
      <c r="DG6" s="117">
        <f t="shared" ca="1" si="15"/>
        <v>443.4</v>
      </c>
      <c r="DH6" s="117">
        <f t="shared" ref="DH6:DH7" ca="1" si="85">ROUND(CI6*(1-BJ6)*(1-$AK6)/8.76,1)</f>
        <v>456.6</v>
      </c>
      <c r="DI6" s="117">
        <f t="shared" ca="1" si="16"/>
        <v>466.8</v>
      </c>
      <c r="DJ6" s="117">
        <f t="shared" ca="1" si="16"/>
        <v>491.1</v>
      </c>
      <c r="DK6" s="117">
        <f t="shared" ref="DK6:DK7" ca="1" si="86">ROUND(CL6*(1-BM6)*(1-$AK6)/8.76,1)</f>
        <v>775.1</v>
      </c>
      <c r="DL6" s="117">
        <f t="shared" ca="1" si="17"/>
        <v>1286.9000000000001</v>
      </c>
      <c r="DM6" s="118" t="str">
        <f t="shared" si="18"/>
        <v xml:space="preserve">0.795 0.8055 0.816 0.8265 0.837 0.8475 0.858 0.8685 0.879 0.8895 0.9 0.902 0.904 0.906 0.908 0.91 0.912 0.914 0.916 0.918 0.92 0.92 0.92 0.92 </v>
      </c>
      <c r="DN6" s="72">
        <f t="shared" ref="DN6:DN7" si="87">1-AQ6</f>
        <v>0.79500000000000004</v>
      </c>
      <c r="DO6" s="72">
        <f t="shared" ref="DO6:DO7" si="88">1-AR6</f>
        <v>0.80549999999999999</v>
      </c>
      <c r="DP6" s="72">
        <f t="shared" ref="DP6:DP7" si="89">1-AS6</f>
        <v>0.81600000000000006</v>
      </c>
      <c r="DQ6" s="72">
        <f t="shared" ref="DQ6:DQ7" si="90">1-AT6</f>
        <v>0.82650000000000001</v>
      </c>
      <c r="DR6" s="72">
        <f t="shared" ref="DR6:DR7" si="91">1-AU6</f>
        <v>0.83700000000000008</v>
      </c>
      <c r="DS6" s="72">
        <f t="shared" ref="DS6:DS7" si="92">1-AV6</f>
        <v>0.84750000000000003</v>
      </c>
      <c r="DT6" s="72">
        <f t="shared" ref="DT6:DT7" si="93">1-AW6</f>
        <v>0.8580000000000001</v>
      </c>
      <c r="DU6" s="72">
        <f t="shared" ref="DU6:DU7" si="94">1-AX6</f>
        <v>0.86850000000000005</v>
      </c>
      <c r="DV6" s="72">
        <f t="shared" ref="DV6:DV7" si="95">1-AY6</f>
        <v>0.87900000000000011</v>
      </c>
      <c r="DW6" s="72">
        <f t="shared" ref="DW6:DW7" si="96">1-AZ6</f>
        <v>0.88950000000000007</v>
      </c>
      <c r="DX6" s="72">
        <f t="shared" ref="DX6:DX7" si="97">1-BA6</f>
        <v>0.9</v>
      </c>
      <c r="DY6" s="72">
        <f t="shared" ref="DY6:DY7" si="98">1-BB6</f>
        <v>0.90200000000000002</v>
      </c>
      <c r="DZ6" s="72">
        <f t="shared" ref="DZ6:DZ7" si="99">1-BC6</f>
        <v>0.90400000000000003</v>
      </c>
      <c r="EA6" s="72">
        <f t="shared" ref="EA6:EA7" si="100">1-BD6</f>
        <v>0.90600000000000003</v>
      </c>
      <c r="EB6" s="72">
        <f t="shared" ref="EB6:EB7" si="101">1-BE6</f>
        <v>0.90800000000000003</v>
      </c>
      <c r="EC6" s="72">
        <f t="shared" ref="EC6:EC7" si="102">1-BF6</f>
        <v>0.91</v>
      </c>
      <c r="ED6" s="72">
        <f t="shared" ref="ED6:ED7" si="103">1-BG6</f>
        <v>0.91200000000000003</v>
      </c>
      <c r="EE6" s="72">
        <f t="shared" ref="EE6:EE7" si="104">1-BH6</f>
        <v>0.91400000000000003</v>
      </c>
      <c r="EF6" s="72">
        <f t="shared" ref="EF6:EF7" si="105">1-BI6</f>
        <v>0.91600000000000004</v>
      </c>
      <c r="EG6" s="72">
        <f t="shared" ref="EG6:EG7" si="106">1-BJ6</f>
        <v>0.91800000000000004</v>
      </c>
      <c r="EH6" s="72">
        <f t="shared" ref="EH6:EH7" si="107">1-BK6</f>
        <v>0.92</v>
      </c>
      <c r="EI6" s="72">
        <f t="shared" ref="EI6:EI7" si="108">1-BL6</f>
        <v>0.92</v>
      </c>
      <c r="EJ6" s="72">
        <f t="shared" ref="EJ6:EJ7" si="109">1-BM6</f>
        <v>0.92</v>
      </c>
      <c r="EK6" s="72">
        <f t="shared" ref="EK6:EK7" si="110">1-BN6</f>
        <v>0.92</v>
      </c>
    </row>
    <row r="7" spans="1:141" x14ac:dyDescent="0.25">
      <c r="A7" t="str">
        <f t="shared" si="20"/>
        <v>RuralSEN</v>
      </c>
      <c r="B7" t="s">
        <v>518</v>
      </c>
      <c r="C7" t="str">
        <f>IFERROR(VLOOKUP(D7,'For model'!$B$4:$C$16,2,FALSE),C6)</f>
        <v>SEN</v>
      </c>
      <c r="D7" t="s">
        <v>518</v>
      </c>
      <c r="E7" s="72">
        <v>0.02</v>
      </c>
      <c r="F7" s="72">
        <v>0.03</v>
      </c>
      <c r="G7" s="72">
        <v>0.05</v>
      </c>
      <c r="H7" s="72">
        <v>0.08</v>
      </c>
      <c r="I7" s="72">
        <v>0.08</v>
      </c>
      <c r="K7" s="72">
        <f t="shared" si="23"/>
        <v>0.02</v>
      </c>
      <c r="L7" s="72">
        <f t="shared" ref="L7:O7" si="111">($P7-$K7)/($P$4-$K$4)+K7</f>
        <v>2.1999999999999999E-2</v>
      </c>
      <c r="M7" s="72">
        <f t="shared" si="111"/>
        <v>2.3999999999999997E-2</v>
      </c>
      <c r="N7" s="72">
        <f t="shared" si="111"/>
        <v>2.5999999999999995E-2</v>
      </c>
      <c r="O7" s="72">
        <f t="shared" si="111"/>
        <v>2.7999999999999994E-2</v>
      </c>
      <c r="P7" s="72">
        <f t="shared" si="25"/>
        <v>0.03</v>
      </c>
      <c r="Q7" s="72">
        <f t="shared" ref="Q7:T7" si="112">($U7-$P7)/($U$4-$P$4)+P7</f>
        <v>3.4000000000000002E-2</v>
      </c>
      <c r="R7" s="72">
        <f t="shared" si="112"/>
        <v>3.8000000000000006E-2</v>
      </c>
      <c r="S7" s="72">
        <f t="shared" si="112"/>
        <v>4.200000000000001E-2</v>
      </c>
      <c r="T7" s="72">
        <f t="shared" si="112"/>
        <v>4.6000000000000013E-2</v>
      </c>
      <c r="U7" s="72">
        <f t="shared" si="27"/>
        <v>0.05</v>
      </c>
      <c r="V7" s="72">
        <f t="shared" si="28"/>
        <v>5.3000000000000005E-2</v>
      </c>
      <c r="W7" s="72">
        <f t="shared" si="29"/>
        <v>5.6000000000000008E-2</v>
      </c>
      <c r="X7" s="72">
        <f t="shared" si="30"/>
        <v>5.9000000000000011E-2</v>
      </c>
      <c r="Y7" s="72">
        <f t="shared" si="31"/>
        <v>6.2000000000000013E-2</v>
      </c>
      <c r="Z7" s="72">
        <f t="shared" si="32"/>
        <v>6.5000000000000016E-2</v>
      </c>
      <c r="AA7" s="72">
        <f t="shared" si="33"/>
        <v>6.8000000000000019E-2</v>
      </c>
      <c r="AB7" s="72">
        <f t="shared" si="34"/>
        <v>7.1000000000000021E-2</v>
      </c>
      <c r="AC7" s="72">
        <f t="shared" si="35"/>
        <v>7.4000000000000024E-2</v>
      </c>
      <c r="AD7" s="72">
        <f t="shared" si="36"/>
        <v>7.7000000000000027E-2</v>
      </c>
      <c r="AE7" s="72">
        <f t="shared" si="37"/>
        <v>0.08</v>
      </c>
      <c r="AF7" s="72">
        <f>(AH7-AE7)/(AH$4-AE$4)+AE7</f>
        <v>0.08</v>
      </c>
      <c r="AG7" s="72">
        <f t="shared" si="38"/>
        <v>0.08</v>
      </c>
      <c r="AH7" s="72">
        <f>I7</f>
        <v>0.08</v>
      </c>
      <c r="AJ7" s="116">
        <f>1-((1-AL7)*K7+(1-AL6)*K6+(1-AL5)*K5)*(1-AK5)</f>
        <v>0.22803000000000007</v>
      </c>
      <c r="AK7" s="72">
        <f>AK6</f>
        <v>0.05</v>
      </c>
      <c r="AL7" s="72">
        <v>0.25</v>
      </c>
      <c r="AM7" s="72">
        <v>0.2</v>
      </c>
      <c r="AN7" s="72">
        <v>0.2</v>
      </c>
      <c r="AO7" s="72">
        <f>AN7</f>
        <v>0.2</v>
      </c>
      <c r="AP7" s="118" t="str">
        <f>AQ7&amp;" "&amp;AR7&amp;" "&amp;AS7&amp;" "&amp;AT7&amp;" "&amp;AU7&amp;" "&amp;AV7&amp;" "&amp;AW7&amp;" "&amp;AX7&amp;" "&amp;AY7&amp;" "&amp;AZ7&amp;" "&amp;BA7&amp;" "&amp;BB7&amp;" "&amp;BC7&amp;" "&amp;BD7&amp;" "&amp;BE7&amp;" "&amp;BF7&amp;" "&amp;BG7&amp;" "&amp;BH7&amp;" "&amp;BI7&amp;" "&amp;BJ7&amp;" "&amp;BK7&amp;" "&amp;BL7&amp;" "&amp;BM7&amp;" "&amp;BN7&amp;" "</f>
        <v xml:space="preserve">0.25 0.245 0.24 0.235 0.23 0.225 0.22 0.215 0.21 0.205 0.2 0.2 0.2 0.2 0.2 0.2 0.2 0.2 0.2 0.2 0.2 0.2 0.2 0.2 </v>
      </c>
      <c r="AQ7" s="72">
        <f t="shared" si="39"/>
        <v>0.25</v>
      </c>
      <c r="AR7" s="72">
        <f t="shared" si="40"/>
        <v>0.245</v>
      </c>
      <c r="AS7" s="72">
        <f t="shared" si="41"/>
        <v>0.24</v>
      </c>
      <c r="AT7" s="72">
        <f t="shared" si="42"/>
        <v>0.23499999999999999</v>
      </c>
      <c r="AU7" s="72">
        <f t="shared" si="43"/>
        <v>0.22999999999999998</v>
      </c>
      <c r="AV7" s="72">
        <f t="shared" si="44"/>
        <v>0.22499999999999998</v>
      </c>
      <c r="AW7" s="72">
        <f t="shared" si="45"/>
        <v>0.21999999999999997</v>
      </c>
      <c r="AX7" s="72">
        <f t="shared" si="46"/>
        <v>0.21499999999999997</v>
      </c>
      <c r="AY7" s="72">
        <f t="shared" si="47"/>
        <v>0.20999999999999996</v>
      </c>
      <c r="AZ7" s="72">
        <f t="shared" si="48"/>
        <v>0.20499999999999996</v>
      </c>
      <c r="BA7" s="72">
        <f t="shared" si="49"/>
        <v>0.2</v>
      </c>
      <c r="BB7" s="72">
        <f t="shared" si="50"/>
        <v>0.2</v>
      </c>
      <c r="BC7" s="72">
        <f t="shared" si="51"/>
        <v>0.2</v>
      </c>
      <c r="BD7" s="72">
        <f t="shared" si="52"/>
        <v>0.2</v>
      </c>
      <c r="BE7" s="72">
        <f t="shared" si="53"/>
        <v>0.2</v>
      </c>
      <c r="BF7" s="72">
        <f t="shared" si="54"/>
        <v>0.2</v>
      </c>
      <c r="BG7" s="72">
        <f t="shared" si="55"/>
        <v>0.2</v>
      </c>
      <c r="BH7" s="72">
        <f t="shared" si="56"/>
        <v>0.2</v>
      </c>
      <c r="BI7" s="72">
        <f t="shared" si="57"/>
        <v>0.2</v>
      </c>
      <c r="BJ7" s="72">
        <f t="shared" si="58"/>
        <v>0.2</v>
      </c>
      <c r="BK7" s="72">
        <f t="shared" si="59"/>
        <v>0.2</v>
      </c>
      <c r="BL7" s="72">
        <f>(BN7-BK7)/(BN$4-BK$4)+BK7</f>
        <v>0.2</v>
      </c>
      <c r="BM7" s="72">
        <f t="shared" si="60"/>
        <v>0.2</v>
      </c>
      <c r="BN7" s="72">
        <f>AO7</f>
        <v>0.2</v>
      </c>
      <c r="BP7" s="84">
        <f ca="1">K7/(K6+K7)*(K8-BP5)</f>
        <v>49.88</v>
      </c>
      <c r="BQ7" s="84">
        <f t="shared" ref="BQ7" ca="1" si="113">L7/(L6+L7)*(L8-BQ5)</f>
        <v>58.387999999999998</v>
      </c>
      <c r="BR7" s="84">
        <f t="shared" ref="BR7" ca="1" si="114">M7/(M6+M7)*(M8-BR5)</f>
        <v>71.783999999999978</v>
      </c>
      <c r="BS7" s="84">
        <f t="shared" ref="BS7" ca="1" si="115">N7/(N6+N7)*(N8-BS5)</f>
        <v>81.821999999999989</v>
      </c>
      <c r="BT7" s="84">
        <f t="shared" ref="BT7" ca="1" si="116">O7/(O6+O7)*(O8-BT5)</f>
        <v>92.931999999999988</v>
      </c>
      <c r="BU7" s="84">
        <f t="shared" ref="BU7" ca="1" si="117">P7/(P6+P7)*(P8-BU5)</f>
        <v>112.32</v>
      </c>
      <c r="BV7" s="84">
        <f t="shared" ref="BV7" ca="1" si="118">Q7/(Q6+Q7)*(Q8-BV5)</f>
        <v>146.57400000000001</v>
      </c>
      <c r="BW7" s="84">
        <f t="shared" ref="BW7" ca="1" si="119">R7/(R6+R7)*(R8-BW5)</f>
        <v>172.36800000000005</v>
      </c>
      <c r="BX7" s="84">
        <f t="shared" ref="BX7" ca="1" si="120">S7/(S6+S7)*(S8-BX5)</f>
        <v>200.50800000000007</v>
      </c>
      <c r="BY7" s="84">
        <f t="shared" ref="BY7" ca="1" si="121">T7/(T6+T7)*(T8-BY5)</f>
        <v>231.19600000000008</v>
      </c>
      <c r="BZ7" s="84">
        <f t="shared" ref="BZ7" ca="1" si="122">U7/(U6+U7)*(U8-BZ5)</f>
        <v>265.3</v>
      </c>
      <c r="CA7" s="84">
        <f t="shared" ref="CA7" ca="1" si="123">V7/(V6+V7)*(V8-CA5)</f>
        <v>298.07200000000006</v>
      </c>
      <c r="CB7" s="84">
        <f t="shared" ref="CB7" ca="1" si="124">W7/(W6+W7)*(W8-CB5)</f>
        <v>332.24800000000005</v>
      </c>
      <c r="CC7" s="84">
        <f t="shared" ref="CC7" ca="1" si="125">X7/(X6+X7)*(X8-CC5)</f>
        <v>369.39900000000006</v>
      </c>
      <c r="CD7" s="84">
        <f t="shared" ref="CD7" ca="1" si="126">Y7/(Y6+Y7)*(Y8-CD5)</f>
        <v>409.88200000000018</v>
      </c>
      <c r="CE7" s="84">
        <f t="shared" ref="CE7" ca="1" si="127">Z7/(Z6+Z7)*(Z8-CE5)</f>
        <v>453.89500000000015</v>
      </c>
      <c r="CF7" s="84">
        <f t="shared" ref="CF7" ca="1" si="128">AA7/(AA6+AA7)*(AA8-CF5)</f>
        <v>500.74974080211467</v>
      </c>
      <c r="CG7" s="84">
        <f t="shared" ref="CG7" ca="1" si="129">AB7/(AB6+AB7)*(AB8-CG5)</f>
        <v>551.03311108377954</v>
      </c>
      <c r="CH7" s="84">
        <f t="shared" ref="CH7" ca="1" si="130">AC7/(AC6+AC7)*(AC8-CH5)</f>
        <v>604.91754894338123</v>
      </c>
      <c r="CI7" s="84">
        <f t="shared" ref="CI7" ca="1" si="131">AD7/(AD6+AD7)*(AD8-CI5)</f>
        <v>662.57910708430711</v>
      </c>
      <c r="CJ7" s="84">
        <f t="shared" ref="CJ7" ca="1" si="132">AE7/(AE6+AE7)*(AE8-CJ5)</f>
        <v>719.83197077795751</v>
      </c>
      <c r="CK7" s="84">
        <f t="shared" ref="CK7" ca="1" si="133">AF7/(AF6+AF7)*(AF8-CK5)</f>
        <v>757.27034864914799</v>
      </c>
      <c r="CL7" s="84">
        <f t="shared" ref="CL7" ca="1" si="134">AG7/(AG6+AG7)*(AG8-CL5)</f>
        <v>1195.1690460473769</v>
      </c>
      <c r="CM7" s="84">
        <f t="shared" ref="CM7" ca="1" si="135">AH7/(AH6+AH7)*(AH8-CM5)</f>
        <v>1984.3923396261821</v>
      </c>
      <c r="CN7" s="118" t="str">
        <f t="shared" ca="1" si="12"/>
        <v xml:space="preserve">4.1 4.8 5.9 6.8 7.8 9.4 12.4 14.7 17.2 19.9 23 25.9 28.8 32 35.6 39.4 43.4 47.8 52.5 57.5 62.5 65.7 103.7 172.2 </v>
      </c>
      <c r="CO7" s="117">
        <f t="shared" ca="1" si="83"/>
        <v>4.0999999999999996</v>
      </c>
      <c r="CP7" s="117">
        <f t="shared" ca="1" si="13"/>
        <v>4.8</v>
      </c>
      <c r="CQ7" s="117">
        <f t="shared" ca="1" si="13"/>
        <v>5.9</v>
      </c>
      <c r="CR7" s="117">
        <f t="shared" ca="1" si="13"/>
        <v>6.8</v>
      </c>
      <c r="CS7" s="117">
        <f t="shared" ca="1" si="13"/>
        <v>7.8</v>
      </c>
      <c r="CT7" s="117">
        <f t="shared" ca="1" si="13"/>
        <v>9.4</v>
      </c>
      <c r="CU7" s="117">
        <f t="shared" ca="1" si="13"/>
        <v>12.4</v>
      </c>
      <c r="CV7" s="117">
        <f t="shared" ca="1" si="13"/>
        <v>14.7</v>
      </c>
      <c r="CW7" s="117">
        <f t="shared" ca="1" si="13"/>
        <v>17.2</v>
      </c>
      <c r="CX7" s="117">
        <f t="shared" ca="1" si="13"/>
        <v>19.899999999999999</v>
      </c>
      <c r="CY7" s="117">
        <f t="shared" ca="1" si="13"/>
        <v>23</v>
      </c>
      <c r="CZ7" s="117">
        <f t="shared" ca="1" si="13"/>
        <v>25.9</v>
      </c>
      <c r="DA7" s="117">
        <f t="shared" ca="1" si="13"/>
        <v>28.8</v>
      </c>
      <c r="DB7" s="117">
        <f t="shared" ca="1" si="13"/>
        <v>32</v>
      </c>
      <c r="DC7" s="117">
        <f t="shared" ca="1" si="13"/>
        <v>35.6</v>
      </c>
      <c r="DD7" s="117">
        <f t="shared" ca="1" si="13"/>
        <v>39.4</v>
      </c>
      <c r="DE7" s="117">
        <f t="shared" ca="1" si="84"/>
        <v>43.4</v>
      </c>
      <c r="DF7" s="117">
        <f t="shared" ca="1" si="14"/>
        <v>47.8</v>
      </c>
      <c r="DG7" s="117">
        <f t="shared" ca="1" si="15"/>
        <v>52.5</v>
      </c>
      <c r="DH7" s="117">
        <f t="shared" ca="1" si="85"/>
        <v>57.5</v>
      </c>
      <c r="DI7" s="117">
        <f t="shared" ca="1" si="16"/>
        <v>62.5</v>
      </c>
      <c r="DJ7" s="117">
        <f t="shared" ca="1" si="16"/>
        <v>65.7</v>
      </c>
      <c r="DK7" s="117">
        <f t="shared" ca="1" si="86"/>
        <v>103.7</v>
      </c>
      <c r="DL7" s="117">
        <f t="shared" ca="1" si="17"/>
        <v>172.2</v>
      </c>
      <c r="DM7" s="118" t="str">
        <f t="shared" si="18"/>
        <v xml:space="preserve">0.75 0.755 0.76 0.765 0.77 0.775 0.78 0.785 0.79 0.795 0.8 0.8 0.8 0.8 0.8 0.8 0.8 0.8 0.8 0.8 0.8 0.8 0.8 0.8 </v>
      </c>
      <c r="DN7" s="72">
        <f t="shared" si="87"/>
        <v>0.75</v>
      </c>
      <c r="DO7" s="72">
        <f t="shared" si="88"/>
        <v>0.755</v>
      </c>
      <c r="DP7" s="72">
        <f t="shared" si="89"/>
        <v>0.76</v>
      </c>
      <c r="DQ7" s="72">
        <f t="shared" si="90"/>
        <v>0.76500000000000001</v>
      </c>
      <c r="DR7" s="72">
        <f t="shared" si="91"/>
        <v>0.77</v>
      </c>
      <c r="DS7" s="72">
        <f t="shared" si="92"/>
        <v>0.77500000000000002</v>
      </c>
      <c r="DT7" s="72">
        <f t="shared" si="93"/>
        <v>0.78</v>
      </c>
      <c r="DU7" s="72">
        <f t="shared" si="94"/>
        <v>0.78500000000000003</v>
      </c>
      <c r="DV7" s="72">
        <f t="shared" si="95"/>
        <v>0.79</v>
      </c>
      <c r="DW7" s="72">
        <f t="shared" si="96"/>
        <v>0.79500000000000004</v>
      </c>
      <c r="DX7" s="72">
        <f t="shared" si="97"/>
        <v>0.8</v>
      </c>
      <c r="DY7" s="72">
        <f t="shared" si="98"/>
        <v>0.8</v>
      </c>
      <c r="DZ7" s="72">
        <f t="shared" si="99"/>
        <v>0.8</v>
      </c>
      <c r="EA7" s="72">
        <f t="shared" si="100"/>
        <v>0.8</v>
      </c>
      <c r="EB7" s="72">
        <f t="shared" si="101"/>
        <v>0.8</v>
      </c>
      <c r="EC7" s="72">
        <f t="shared" si="102"/>
        <v>0.8</v>
      </c>
      <c r="ED7" s="72">
        <f t="shared" si="103"/>
        <v>0.8</v>
      </c>
      <c r="EE7" s="72">
        <f t="shared" si="104"/>
        <v>0.8</v>
      </c>
      <c r="EF7" s="72">
        <f t="shared" si="105"/>
        <v>0.8</v>
      </c>
      <c r="EG7" s="72">
        <f t="shared" si="106"/>
        <v>0.8</v>
      </c>
      <c r="EH7" s="72">
        <f t="shared" si="107"/>
        <v>0.8</v>
      </c>
      <c r="EI7" s="72">
        <f t="shared" si="108"/>
        <v>0.8</v>
      </c>
      <c r="EJ7" s="72">
        <f t="shared" si="109"/>
        <v>0.8</v>
      </c>
      <c r="EK7" s="72">
        <f t="shared" si="110"/>
        <v>0.8</v>
      </c>
    </row>
    <row r="8" spans="1:141" x14ac:dyDescent="0.25">
      <c r="A8" t="str">
        <f t="shared" si="20"/>
        <v>SEN</v>
      </c>
      <c r="C8" t="str">
        <f>IFERROR(VLOOKUP(D8,'For model'!$B$4:$C$16,2,FALSE),C7)</f>
        <v>SEN</v>
      </c>
      <c r="D8" t="s">
        <v>537</v>
      </c>
      <c r="K8" s="84">
        <f ca="1">OFFSET(SourceData!$BS$4,MATCH(K4,SourceData!$BS$5:$BS$28,0),MATCH($C8,SourceData!$BT$3:$CF$3,0))</f>
        <v>2494</v>
      </c>
      <c r="L8" s="84">
        <f ca="1">OFFSET(SourceData!$BS$4,MATCH(L4,SourceData!$BS$5:$BS$28,0),MATCH($C8,SourceData!$BT$3:$CF$3,0))</f>
        <v>2654</v>
      </c>
      <c r="M8" s="84">
        <f ca="1">OFFSET(SourceData!$BS$4,MATCH(M4,SourceData!$BS$5:$BS$28,0),MATCH($C8,SourceData!$BT$3:$CF$3,0))</f>
        <v>2991</v>
      </c>
      <c r="N8" s="84">
        <f ca="1">OFFSET(SourceData!$BS$4,MATCH(N4,SourceData!$BS$5:$BS$28,0),MATCH($C8,SourceData!$BT$3:$CF$3,0))</f>
        <v>3147</v>
      </c>
      <c r="O8" s="84">
        <f ca="1">OFFSET(SourceData!$BS$4,MATCH(O4,SourceData!$BS$5:$BS$28,0),MATCH($C8,SourceData!$BT$3:$CF$3,0))</f>
        <v>3319</v>
      </c>
      <c r="P8" s="84">
        <f ca="1">OFFSET(SourceData!$BS$4,MATCH(P4,SourceData!$BS$5:$BS$28,0),MATCH($C8,SourceData!$BT$3:$CF$3,0))</f>
        <v>3744</v>
      </c>
      <c r="Q8" s="84">
        <f ca="1">OFFSET(SourceData!$BS$4,MATCH(Q4,SourceData!$BS$5:$BS$28,0),MATCH($C8,SourceData!$BT$3:$CF$3,0))</f>
        <v>4311</v>
      </c>
      <c r="R8" s="84">
        <f ca="1">OFFSET(SourceData!$BS$4,MATCH(R4,SourceData!$BS$5:$BS$28,0),MATCH($C8,SourceData!$BT$3:$CF$3,0))</f>
        <v>4536</v>
      </c>
      <c r="S8" s="84">
        <f ca="1">OFFSET(SourceData!$BS$4,MATCH(S4,SourceData!$BS$5:$BS$28,0),MATCH($C8,SourceData!$BT$3:$CF$3,0))</f>
        <v>4774</v>
      </c>
      <c r="T8" s="84">
        <f ca="1">OFFSET(SourceData!$BS$4,MATCH(T4,SourceData!$BS$5:$BS$28,0),MATCH($C8,SourceData!$BT$3:$CF$3,0))</f>
        <v>5026</v>
      </c>
      <c r="U8" s="84">
        <f ca="1">OFFSET(SourceData!$BS$4,MATCH(U4,SourceData!$BS$5:$BS$28,0),MATCH($C8,SourceData!$BT$3:$CF$3,0))</f>
        <v>5306</v>
      </c>
      <c r="V8" s="84">
        <f ca="1">OFFSET(SourceData!$BS$4,MATCH(V4,SourceData!$BS$5:$BS$28,0),MATCH($C8,SourceData!$BT$3:$CF$3,0))</f>
        <v>5624</v>
      </c>
      <c r="W8" s="84">
        <f ca="1">OFFSET(SourceData!$BS$4,MATCH(W4,SourceData!$BS$5:$BS$28,0),MATCH($C8,SourceData!$BT$3:$CF$3,0))</f>
        <v>5933</v>
      </c>
      <c r="X8" s="84">
        <f ca="1">OFFSET(SourceData!$BS$4,MATCH(X4,SourceData!$BS$5:$BS$28,0),MATCH($C8,SourceData!$BT$3:$CF$3,0))</f>
        <v>6261</v>
      </c>
      <c r="Y8" s="84">
        <f ca="1">OFFSET(SourceData!$BS$4,MATCH(Y4,SourceData!$BS$5:$BS$28,0),MATCH($C8,SourceData!$BT$3:$CF$3,0))</f>
        <v>6611</v>
      </c>
      <c r="Z8" s="84">
        <f ca="1">OFFSET(SourceData!$BS$4,MATCH(Z4,SourceData!$BS$5:$BS$28,0),MATCH($C8,SourceData!$BT$3:$CF$3,0))</f>
        <v>6983</v>
      </c>
      <c r="AA8" s="84">
        <f ca="1">OFFSET(SourceData!$BS$4,MATCH(AA4,SourceData!$BS$5:$BS$28,0),MATCH($C8,SourceData!$BT$3:$CF$3,0))</f>
        <v>7363.9667765016848</v>
      </c>
      <c r="AB8" s="84">
        <f ca="1">OFFSET(SourceData!$BS$4,MATCH(AB4,SourceData!$BS$5:$BS$28,0),MATCH($C8,SourceData!$BT$3:$CF$3,0))</f>
        <v>7761.0297335743562</v>
      </c>
      <c r="AC8" s="84">
        <f ca="1">OFFSET(SourceData!$BS$4,MATCH(AC4,SourceData!$BS$5:$BS$28,0),MATCH($C8,SourceData!$BT$3:$CF$3,0))</f>
        <v>8174.5614722078517</v>
      </c>
      <c r="AD8" s="84">
        <f ca="1">OFFSET(SourceData!$BS$4,MATCH(AD4,SourceData!$BS$5:$BS$28,0),MATCH($C8,SourceData!$BT$3:$CF$3,0))</f>
        <v>8604.923468627363</v>
      </c>
      <c r="AE8" s="84">
        <f ca="1">OFFSET(SourceData!$BS$4,MATCH(AE4,SourceData!$BS$5:$BS$28,0),MATCH($C8,SourceData!$BT$3:$CF$3,0))</f>
        <v>8997.8996347244702</v>
      </c>
      <c r="AF8" s="84">
        <f ca="1">OFFSET(SourceData!$BS$4,MATCH(AF4,SourceData!$BS$5:$BS$28,0),MATCH($C8,SourceData!$BT$3:$CF$3,0))</f>
        <v>9465.8793581143509</v>
      </c>
      <c r="AG8" s="84">
        <f ca="1">OFFSET(SourceData!$BS$4,MATCH(AG4,SourceData!$BS$5:$BS$28,0),MATCH($C8,SourceData!$BT$3:$CF$3,0))</f>
        <v>14939.613075592211</v>
      </c>
      <c r="AH8" s="84">
        <f ca="1">OFFSET(SourceData!$BS$4,MATCH(AH4,SourceData!$BS$5:$BS$28,0),MATCH($C8,SourceData!$BT$3:$CF$3,0))</f>
        <v>24804.904245327278</v>
      </c>
      <c r="BP8" s="84">
        <f ca="1">SUM(BP5:BP7)</f>
        <v>2494</v>
      </c>
      <c r="BQ8" s="84">
        <f t="shared" ref="BQ8" ca="1" si="136">SUM(BQ5:BQ7)</f>
        <v>2654</v>
      </c>
      <c r="BR8" s="84">
        <f t="shared" ref="BR8" ca="1" si="137">SUM(BR5:BR7)</f>
        <v>2991</v>
      </c>
      <c r="BS8" s="84">
        <f t="shared" ref="BS8" ca="1" si="138">SUM(BS5:BS7)</f>
        <v>3147</v>
      </c>
      <c r="BT8" s="84">
        <f t="shared" ref="BT8" ca="1" si="139">SUM(BT5:BT7)</f>
        <v>3318.9999999999995</v>
      </c>
      <c r="BU8" s="84">
        <f t="shared" ref="BU8" ca="1" si="140">SUM(BU5:BU7)</f>
        <v>3744.0000000000005</v>
      </c>
      <c r="BV8" s="84">
        <f t="shared" ref="BV8" ca="1" si="141">SUM(BV5:BV7)</f>
        <v>4310.9999999999991</v>
      </c>
      <c r="BW8" s="84">
        <f t="shared" ref="BW8" ca="1" si="142">SUM(BW5:BW7)</f>
        <v>4536</v>
      </c>
      <c r="BX8" s="84">
        <f t="shared" ref="BX8" ca="1" si="143">SUM(BX5:BX7)</f>
        <v>4774</v>
      </c>
      <c r="BY8" s="84">
        <f t="shared" ref="BY8" ca="1" si="144">SUM(BY5:BY7)</f>
        <v>5026</v>
      </c>
      <c r="BZ8" s="84">
        <f t="shared" ref="BZ8" ca="1" si="145">SUM(BZ5:BZ7)</f>
        <v>5306</v>
      </c>
      <c r="CA8" s="84">
        <f t="shared" ref="CA8" ca="1" si="146">SUM(CA5:CA7)</f>
        <v>5624</v>
      </c>
      <c r="CB8" s="84">
        <f t="shared" ref="CB8" ca="1" si="147">SUM(CB5:CB7)</f>
        <v>5933</v>
      </c>
      <c r="CC8" s="84">
        <f t="shared" ref="CC8" ca="1" si="148">SUM(CC5:CC7)</f>
        <v>6261</v>
      </c>
      <c r="CD8" s="84">
        <f t="shared" ref="CD8" ca="1" si="149">SUM(CD5:CD7)</f>
        <v>6611.0000000000009</v>
      </c>
      <c r="CE8" s="84">
        <f t="shared" ref="CE8" ca="1" si="150">SUM(CE5:CE7)</f>
        <v>6983</v>
      </c>
      <c r="CF8" s="84">
        <f t="shared" ref="CF8" ca="1" si="151">SUM(CF5:CF7)</f>
        <v>7363.9667765016848</v>
      </c>
      <c r="CG8" s="84">
        <f t="shared" ref="CG8" ca="1" si="152">SUM(CG5:CG7)</f>
        <v>7761.0297335743562</v>
      </c>
      <c r="CH8" s="84">
        <f t="shared" ref="CH8" ca="1" si="153">SUM(CH5:CH7)</f>
        <v>8174.5614722078508</v>
      </c>
      <c r="CI8" s="84">
        <f t="shared" ref="CI8" ca="1" si="154">SUM(CI5:CI7)</f>
        <v>8604.923468627363</v>
      </c>
      <c r="CJ8" s="84">
        <f t="shared" ref="CJ8" ca="1" si="155">SUM(CJ5:CJ7)</f>
        <v>8997.8996347244702</v>
      </c>
      <c r="CK8" s="84">
        <f t="shared" ref="CK8" ca="1" si="156">SUM(CK5:CK7)</f>
        <v>9465.8793581143509</v>
      </c>
      <c r="CL8" s="84">
        <f t="shared" ref="CL8" ca="1" si="157">SUM(CL5:CL7)</f>
        <v>14939.613075592213</v>
      </c>
      <c r="CM8" s="84">
        <f t="shared" ref="CM8" ca="1" si="158">SUM(CM5:CM7)</f>
        <v>24804.904245327278</v>
      </c>
    </row>
    <row r="9" spans="1:141" x14ac:dyDescent="0.25">
      <c r="A9" t="str">
        <f t="shared" si="20"/>
        <v>GAM</v>
      </c>
      <c r="C9" t="str">
        <f>IFERROR(VLOOKUP(D9,'For model'!$B$4:$C$16,2,FALSE),C8)</f>
        <v>GAM</v>
      </c>
      <c r="D9" s="92" t="s">
        <v>68</v>
      </c>
      <c r="E9">
        <v>2010</v>
      </c>
      <c r="F9">
        <v>2015</v>
      </c>
      <c r="G9">
        <v>2020</v>
      </c>
      <c r="H9">
        <v>2030</v>
      </c>
      <c r="I9">
        <f>I4</f>
        <v>2050</v>
      </c>
      <c r="K9">
        <v>2010</v>
      </c>
      <c r="L9">
        <f>K9+1</f>
        <v>2011</v>
      </c>
      <c r="M9">
        <f t="shared" ref="M9:U9" si="159">L9+1</f>
        <v>2012</v>
      </c>
      <c r="N9">
        <f t="shared" si="159"/>
        <v>2013</v>
      </c>
      <c r="O9">
        <f t="shared" si="159"/>
        <v>2014</v>
      </c>
      <c r="P9">
        <f t="shared" si="159"/>
        <v>2015</v>
      </c>
      <c r="Q9">
        <f t="shared" si="159"/>
        <v>2016</v>
      </c>
      <c r="R9">
        <f t="shared" si="159"/>
        <v>2017</v>
      </c>
      <c r="S9">
        <f t="shared" si="159"/>
        <v>2018</v>
      </c>
      <c r="T9">
        <f t="shared" si="159"/>
        <v>2019</v>
      </c>
      <c r="U9">
        <f t="shared" si="159"/>
        <v>2020</v>
      </c>
      <c r="V9">
        <f t="shared" ref="V9:AF9" si="160">U9+1</f>
        <v>2021</v>
      </c>
      <c r="W9">
        <f t="shared" si="160"/>
        <v>2022</v>
      </c>
      <c r="X9">
        <f t="shared" si="160"/>
        <v>2023</v>
      </c>
      <c r="Y9">
        <f t="shared" si="160"/>
        <v>2024</v>
      </c>
      <c r="Z9">
        <f t="shared" si="160"/>
        <v>2025</v>
      </c>
      <c r="AA9">
        <f t="shared" si="160"/>
        <v>2026</v>
      </c>
      <c r="AB9">
        <f t="shared" si="160"/>
        <v>2027</v>
      </c>
      <c r="AC9">
        <f t="shared" si="160"/>
        <v>2028</v>
      </c>
      <c r="AD9">
        <f t="shared" si="160"/>
        <v>2029</v>
      </c>
      <c r="AE9">
        <f t="shared" si="160"/>
        <v>2030</v>
      </c>
      <c r="AF9">
        <f t="shared" si="160"/>
        <v>2031</v>
      </c>
      <c r="AG9">
        <v>2040</v>
      </c>
      <c r="AH9">
        <v>2050</v>
      </c>
      <c r="AL9">
        <f>E9</f>
        <v>2010</v>
      </c>
      <c r="AM9">
        <f>G9</f>
        <v>2020</v>
      </c>
      <c r="AN9">
        <f>H9</f>
        <v>2030</v>
      </c>
      <c r="AO9">
        <f>I9</f>
        <v>2050</v>
      </c>
      <c r="AQ9">
        <v>2010</v>
      </c>
      <c r="AR9">
        <f>AQ9+1</f>
        <v>2011</v>
      </c>
      <c r="AS9">
        <f t="shared" ref="AS9:BL9" si="161">AR9+1</f>
        <v>2012</v>
      </c>
      <c r="AT9">
        <f t="shared" si="161"/>
        <v>2013</v>
      </c>
      <c r="AU9">
        <f t="shared" si="161"/>
        <v>2014</v>
      </c>
      <c r="AV9">
        <f t="shared" si="161"/>
        <v>2015</v>
      </c>
      <c r="AW9">
        <f t="shared" si="161"/>
        <v>2016</v>
      </c>
      <c r="AX9">
        <f t="shared" si="161"/>
        <v>2017</v>
      </c>
      <c r="AY9">
        <f t="shared" si="161"/>
        <v>2018</v>
      </c>
      <c r="AZ9">
        <f t="shared" si="161"/>
        <v>2019</v>
      </c>
      <c r="BA9">
        <f t="shared" si="161"/>
        <v>2020</v>
      </c>
      <c r="BB9">
        <f t="shared" si="161"/>
        <v>2021</v>
      </c>
      <c r="BC9">
        <f t="shared" si="161"/>
        <v>2022</v>
      </c>
      <c r="BD9">
        <f t="shared" si="161"/>
        <v>2023</v>
      </c>
      <c r="BE9">
        <f t="shared" si="161"/>
        <v>2024</v>
      </c>
      <c r="BF9">
        <f t="shared" si="161"/>
        <v>2025</v>
      </c>
      <c r="BG9">
        <f t="shared" si="161"/>
        <v>2026</v>
      </c>
      <c r="BH9">
        <f t="shared" si="161"/>
        <v>2027</v>
      </c>
      <c r="BI9">
        <f t="shared" si="161"/>
        <v>2028</v>
      </c>
      <c r="BJ9">
        <f t="shared" si="161"/>
        <v>2029</v>
      </c>
      <c r="BK9">
        <f t="shared" si="161"/>
        <v>2030</v>
      </c>
      <c r="BL9">
        <f t="shared" si="161"/>
        <v>2031</v>
      </c>
      <c r="BM9">
        <v>2040</v>
      </c>
      <c r="BN9">
        <v>2050</v>
      </c>
      <c r="BP9">
        <f>AQ9</f>
        <v>2010</v>
      </c>
      <c r="BQ9">
        <f t="shared" ref="BQ9:CM9" si="162">AR9</f>
        <v>2011</v>
      </c>
      <c r="BR9">
        <f t="shared" si="162"/>
        <v>2012</v>
      </c>
      <c r="BS9">
        <f t="shared" si="162"/>
        <v>2013</v>
      </c>
      <c r="BT9">
        <f t="shared" si="162"/>
        <v>2014</v>
      </c>
      <c r="BU9">
        <f t="shared" si="162"/>
        <v>2015</v>
      </c>
      <c r="BV9">
        <f t="shared" si="162"/>
        <v>2016</v>
      </c>
      <c r="BW9">
        <f t="shared" si="162"/>
        <v>2017</v>
      </c>
      <c r="BX9">
        <f t="shared" si="162"/>
        <v>2018</v>
      </c>
      <c r="BY9">
        <f t="shared" si="162"/>
        <v>2019</v>
      </c>
      <c r="BZ9">
        <f t="shared" si="162"/>
        <v>2020</v>
      </c>
      <c r="CA9">
        <f t="shared" si="162"/>
        <v>2021</v>
      </c>
      <c r="CB9">
        <f t="shared" si="162"/>
        <v>2022</v>
      </c>
      <c r="CC9">
        <f t="shared" si="162"/>
        <v>2023</v>
      </c>
      <c r="CD9">
        <f t="shared" si="162"/>
        <v>2024</v>
      </c>
      <c r="CE9">
        <f t="shared" si="162"/>
        <v>2025</v>
      </c>
      <c r="CF9">
        <f t="shared" si="162"/>
        <v>2026</v>
      </c>
      <c r="CG9">
        <f t="shared" si="162"/>
        <v>2027</v>
      </c>
      <c r="CH9">
        <f t="shared" si="162"/>
        <v>2028</v>
      </c>
      <c r="CI9">
        <f t="shared" si="162"/>
        <v>2029</v>
      </c>
      <c r="CJ9">
        <f t="shared" si="162"/>
        <v>2030</v>
      </c>
      <c r="CK9">
        <f t="shared" si="162"/>
        <v>2031</v>
      </c>
      <c r="CL9">
        <f t="shared" si="162"/>
        <v>2040</v>
      </c>
      <c r="CM9">
        <f t="shared" si="162"/>
        <v>2050</v>
      </c>
      <c r="CO9">
        <f>BP9</f>
        <v>2010</v>
      </c>
      <c r="CP9">
        <f t="shared" ref="CP9" si="163">BQ9</f>
        <v>2011</v>
      </c>
      <c r="CQ9">
        <f t="shared" ref="CQ9" si="164">BR9</f>
        <v>2012</v>
      </c>
      <c r="CR9">
        <f t="shared" ref="CR9" si="165">BS9</f>
        <v>2013</v>
      </c>
      <c r="CS9">
        <f t="shared" ref="CS9" si="166">BT9</f>
        <v>2014</v>
      </c>
      <c r="CT9">
        <f t="shared" ref="CT9" si="167">BU9</f>
        <v>2015</v>
      </c>
      <c r="CU9">
        <f t="shared" ref="CU9" si="168">BV9</f>
        <v>2016</v>
      </c>
      <c r="CV9">
        <f t="shared" ref="CV9" si="169">BW9</f>
        <v>2017</v>
      </c>
      <c r="CW9">
        <f t="shared" ref="CW9" si="170">BX9</f>
        <v>2018</v>
      </c>
      <c r="CX9">
        <f t="shared" ref="CX9" si="171">BY9</f>
        <v>2019</v>
      </c>
      <c r="CY9">
        <f t="shared" ref="CY9" si="172">BZ9</f>
        <v>2020</v>
      </c>
      <c r="CZ9">
        <f t="shared" ref="CZ9" si="173">CA9</f>
        <v>2021</v>
      </c>
      <c r="DA9">
        <f t="shared" ref="DA9" si="174">CB9</f>
        <v>2022</v>
      </c>
      <c r="DB9">
        <f t="shared" ref="DB9" si="175">CC9</f>
        <v>2023</v>
      </c>
      <c r="DC9">
        <f t="shared" ref="DC9" si="176">CD9</f>
        <v>2024</v>
      </c>
      <c r="DD9">
        <f t="shared" ref="DD9" si="177">CE9</f>
        <v>2025</v>
      </c>
      <c r="DE9">
        <f>CF9</f>
        <v>2026</v>
      </c>
      <c r="DF9">
        <f t="shared" ref="DF9" si="178">CG9</f>
        <v>2027</v>
      </c>
      <c r="DG9">
        <f t="shared" ref="DG9" si="179">CH9</f>
        <v>2028</v>
      </c>
      <c r="DH9">
        <f>CI9</f>
        <v>2029</v>
      </c>
      <c r="DI9">
        <f t="shared" ref="DI9" si="180">CJ9</f>
        <v>2030</v>
      </c>
      <c r="DJ9">
        <f>CK9</f>
        <v>2031</v>
      </c>
      <c r="DK9">
        <f>CL9</f>
        <v>2040</v>
      </c>
      <c r="DL9">
        <f t="shared" ref="DL9" si="181">CM9</f>
        <v>2050</v>
      </c>
    </row>
    <row r="10" spans="1:141" x14ac:dyDescent="0.25">
      <c r="A10" t="str">
        <f t="shared" si="20"/>
        <v>Heavy IndustryGAM</v>
      </c>
      <c r="B10" t="str">
        <f>B5</f>
        <v>Heavy Industry</v>
      </c>
      <c r="C10" t="str">
        <f>IFERROR(VLOOKUP(D10,'For model'!$B$4:$C$16,2,FALSE),C9)</f>
        <v>GAM</v>
      </c>
      <c r="D10" t="s">
        <v>535</v>
      </c>
      <c r="E10" s="72">
        <v>0.1</v>
      </c>
      <c r="F10" s="72">
        <v>0.35</v>
      </c>
      <c r="G10" s="72">
        <v>0.3</v>
      </c>
      <c r="H10" s="72">
        <v>0.3</v>
      </c>
      <c r="I10" s="72">
        <v>0.3</v>
      </c>
      <c r="K10" s="72">
        <f>E10</f>
        <v>0.1</v>
      </c>
      <c r="L10" s="72">
        <f>($P10-$K10)/($P$4-$K$4)+K10</f>
        <v>0.15</v>
      </c>
      <c r="M10" s="72">
        <f t="shared" ref="M10:O10" si="182">($P10-$K10)/($P$4-$K$4)+L10</f>
        <v>0.19999999999999998</v>
      </c>
      <c r="N10" s="72">
        <f t="shared" si="182"/>
        <v>0.24999999999999997</v>
      </c>
      <c r="O10" s="72">
        <f t="shared" si="182"/>
        <v>0.3</v>
      </c>
      <c r="P10" s="72">
        <f>F10</f>
        <v>0.35</v>
      </c>
      <c r="Q10" s="72">
        <f>($U10-$P10)/($U$4-$P$4)+P10</f>
        <v>0.33999999999999997</v>
      </c>
      <c r="R10" s="72">
        <f t="shared" ref="R10:T10" si="183">($U10-$P10)/($U$4-$P$4)+Q10</f>
        <v>0.32999999999999996</v>
      </c>
      <c r="S10" s="72">
        <f t="shared" si="183"/>
        <v>0.31999999999999995</v>
      </c>
      <c r="T10" s="72">
        <f t="shared" si="183"/>
        <v>0.30999999999999994</v>
      </c>
      <c r="U10" s="72">
        <f>G10</f>
        <v>0.3</v>
      </c>
      <c r="V10" s="72">
        <f>(AE10-U10)/(AE$4-U$4)+U10</f>
        <v>0.3</v>
      </c>
      <c r="W10" s="72">
        <f>(AE10-U10)/(AE$4-U$4)+V10</f>
        <v>0.3</v>
      </c>
      <c r="X10" s="72">
        <f>(AE10-U10)/(AE$4-U$4)+W10</f>
        <v>0.3</v>
      </c>
      <c r="Y10" s="72">
        <f>(AE10-U10)/(AE$4-U$4)+X10</f>
        <v>0.3</v>
      </c>
      <c r="Z10" s="72">
        <f>(AE10-U10)/(AE$4-U$4)+Y10</f>
        <v>0.3</v>
      </c>
      <c r="AA10" s="72">
        <f>(AE10-U10)/(AE$4-U$4)+Z10</f>
        <v>0.3</v>
      </c>
      <c r="AB10" s="72">
        <f>(AE10-U10)/(AE$4-U$4)+AA10</f>
        <v>0.3</v>
      </c>
      <c r="AC10" s="72">
        <f>(AE10-U10)/(AE$4-U$4)+AB10</f>
        <v>0.3</v>
      </c>
      <c r="AD10" s="72">
        <f>(AE10-U10)/(AE$4-U$4)+AC10</f>
        <v>0.3</v>
      </c>
      <c r="AE10" s="72">
        <f>H10</f>
        <v>0.3</v>
      </c>
      <c r="AF10" s="72">
        <f>(AH10-AE10)/(AH$4-AE$4)+AE10</f>
        <v>0.3</v>
      </c>
      <c r="AG10" s="72">
        <f>(AE10+AH10)/2</f>
        <v>0.3</v>
      </c>
      <c r="AH10" s="72">
        <f>I10</f>
        <v>0.3</v>
      </c>
      <c r="AJ10" s="115">
        <f ca="1">SUMIF(SourceData!$Y$3:$AK$3,$C9,SourceData!$Y$1:$AK$1)</f>
        <v>0.34</v>
      </c>
      <c r="AK10" s="72">
        <v>0.05</v>
      </c>
      <c r="AL10" s="94">
        <v>0.02</v>
      </c>
      <c r="AM10" s="72">
        <f>AL10</f>
        <v>0.02</v>
      </c>
      <c r="AN10" s="72">
        <v>0</v>
      </c>
      <c r="AO10" s="72">
        <v>0</v>
      </c>
      <c r="AP10" s="118" t="str">
        <f>AQ10&amp;" "&amp;AR10&amp;" "&amp;AS10&amp;" "&amp;AT10&amp;" "&amp;AU10&amp;" "&amp;AV10&amp;" "&amp;AW10&amp;" "&amp;AX10&amp;" "&amp;AY10&amp;" "&amp;AZ10&amp;" "&amp;BA10&amp;" "&amp;BB10&amp;" "&amp;BC10&amp;" "&amp;BD10&amp;" "&amp;BE10&amp;" "&amp;BF10&amp;" "&amp;BG10&amp;" "&amp;BH10&amp;" "&amp;BI10&amp;" "&amp;BJ10&amp;" "&amp;BK10&amp;" "&amp;BL10&amp;" "&amp;BM10&amp;" "&amp;BN10&amp;" "</f>
        <v xml:space="preserve">0.02 0.02 0.02 0.02 0.02 0.02 0.02 0.02 0.02 0.02 0.02 0.018 0.016 0.014 0.012 0.01 0.008 0.006 0.004 0.002 0 0 0 0 </v>
      </c>
      <c r="AQ10" s="72">
        <f>AL10</f>
        <v>0.02</v>
      </c>
      <c r="AR10" s="72">
        <f>(BA10-AQ10)/(BA$4-AQ$4)+AQ10</f>
        <v>0.02</v>
      </c>
      <c r="AS10" s="72">
        <f>(BA10-AQ10)/(BA$4-AQ$4)+AR10</f>
        <v>0.02</v>
      </c>
      <c r="AT10" s="72">
        <f>(BA10-AQ10)/(BA$4-AQ$4)+AS10</f>
        <v>0.02</v>
      </c>
      <c r="AU10" s="72">
        <f>(BA10-AQ10)/(BA$4-AQ$4)+AT10</f>
        <v>0.02</v>
      </c>
      <c r="AV10" s="72">
        <f>(BA10-AQ10)/(BA$4-AQ$4)+AU10</f>
        <v>0.02</v>
      </c>
      <c r="AW10" s="72">
        <f>(BA10-AQ10)/(BA$4-AQ$4)+AV10</f>
        <v>0.02</v>
      </c>
      <c r="AX10" s="72">
        <f>(BA10-AQ10)/(BA$4-AQ$4)+AW10</f>
        <v>0.02</v>
      </c>
      <c r="AY10" s="72">
        <f>(BA10-AQ10)/(BA$4-AQ$4)+AX10</f>
        <v>0.02</v>
      </c>
      <c r="AZ10" s="72">
        <f>(BA10-AQ10)/(BA$4-AQ$4)+AY10</f>
        <v>0.02</v>
      </c>
      <c r="BA10" s="72">
        <f>AM10</f>
        <v>0.02</v>
      </c>
      <c r="BB10" s="72">
        <f>(BK10-BA10)/(BK$4-BA$4)+BA10</f>
        <v>1.8000000000000002E-2</v>
      </c>
      <c r="BC10" s="72">
        <f>(BK10-BA10)/(BK$4-BA$4)+BB10</f>
        <v>1.6E-2</v>
      </c>
      <c r="BD10" s="72">
        <f>(BK10-BA10)/(BK$4-BA$4)+BC10</f>
        <v>1.4E-2</v>
      </c>
      <c r="BE10" s="72">
        <f>(BK10-BA10)/(BK$4-BA$4)+BD10</f>
        <v>1.2E-2</v>
      </c>
      <c r="BF10" s="72">
        <f>(BK10-BA10)/(BK$4-BA$4)+BE10</f>
        <v>0.01</v>
      </c>
      <c r="BG10" s="72">
        <f>(BK10-BA10)/(BK$4-BA$4)+BF10</f>
        <v>8.0000000000000002E-3</v>
      </c>
      <c r="BH10" s="72">
        <f>(BK10-BA10)/(BK$4-BA$4)+BG10</f>
        <v>6.0000000000000001E-3</v>
      </c>
      <c r="BI10" s="72">
        <f>(BK10-BA10)/(BK$4-BA$4)+BH10</f>
        <v>4.0000000000000001E-3</v>
      </c>
      <c r="BJ10" s="72">
        <f>(BK10-BA10)/(BK$4-BA$4)+BI10</f>
        <v>2E-3</v>
      </c>
      <c r="BK10" s="72">
        <f>AN10</f>
        <v>0</v>
      </c>
      <c r="BL10" s="72">
        <f>(BN10-BK10)/(BN$4-BK$4)+BK10</f>
        <v>0</v>
      </c>
      <c r="BM10" s="72">
        <f>(BK10+BN10)/2</f>
        <v>0</v>
      </c>
      <c r="BN10" s="72">
        <f>AO10</f>
        <v>0</v>
      </c>
      <c r="BO10">
        <f>SUMIF(SourceData!$BD$3:$BP$3,$C9,SourceData!$BD$1:$BP$1)</f>
        <v>0</v>
      </c>
      <c r="BP10" s="84">
        <f ca="1">IF($BO10,OFFSET(SourceData!$BC$4,MATCH(BP9,SourceData!$BC$5:$BC$28,0),MATCH($C13,SourceData!$BD$3:$BP$3,0)),K10*K13)</f>
        <v>21.900000000000002</v>
      </c>
      <c r="BQ10" s="84">
        <f ca="1">IF($BO10,OFFSET(SourceData!$BC$4,MATCH(BQ9,SourceData!$BC$5:$BC$28,0),MATCH($C13,SourceData!$BD$3:$BP$3,0)),L10*L13)</f>
        <v>35.85</v>
      </c>
      <c r="BR10" s="84">
        <f ca="1">IF($BO10,OFFSET(SourceData!$BC$4,MATCH(BR9,SourceData!$BC$5:$BC$28,0),MATCH($C13,SourceData!$BD$3:$BP$3,0)),M10*M13)</f>
        <v>67.399999999999991</v>
      </c>
      <c r="BS10" s="84">
        <f ca="1">IF($BO10,OFFSET(SourceData!$BC$4,MATCH(BS9,SourceData!$BC$5:$BC$28,0),MATCH($C13,SourceData!$BD$3:$BP$3,0)),N10*N13)</f>
        <v>103.49999999999999</v>
      </c>
      <c r="BT10" s="84">
        <f ca="1">IF($BO10,OFFSET(SourceData!$BC$4,MATCH(BT9,SourceData!$BC$5:$BC$28,0),MATCH($C13,SourceData!$BD$3:$BP$3,0)),O10*O13)</f>
        <v>148.79999999999998</v>
      </c>
      <c r="BU10" s="84">
        <f ca="1">IF($BO10,OFFSET(SourceData!$BC$4,MATCH(BU9,SourceData!$BC$5:$BC$28,0),MATCH($C13,SourceData!$BD$3:$BP$3,0)),P10*P13)</f>
        <v>205.1</v>
      </c>
      <c r="BV10" s="84">
        <f ca="1">IF($BO10,OFFSET(SourceData!$BC$4,MATCH(BV9,SourceData!$BC$5:$BC$28,0),MATCH($C13,SourceData!$BD$3:$BP$3,0)),Q10*Q13)</f>
        <v>253.98</v>
      </c>
      <c r="BW10" s="84">
        <f ca="1">IF($BO10,OFFSET(SourceData!$BC$4,MATCH(BW9,SourceData!$BC$5:$BC$28,0),MATCH($C13,SourceData!$BD$3:$BP$3,0)),R10*R13)</f>
        <v>254.42999999999998</v>
      </c>
      <c r="BX10" s="84">
        <f ca="1">IF($BO10,OFFSET(SourceData!$BC$4,MATCH(BX9,SourceData!$BC$5:$BC$28,0),MATCH($C13,SourceData!$BD$3:$BP$3,0)),S10*S13)</f>
        <v>254.71999999999997</v>
      </c>
      <c r="BY10" s="84">
        <f ca="1">IF($BO10,OFFSET(SourceData!$BC$4,MATCH(BY9,SourceData!$BC$5:$BC$28,0),MATCH($C13,SourceData!$BD$3:$BP$3,0)),T10*T13)</f>
        <v>254.50999999999996</v>
      </c>
      <c r="BZ10" s="84">
        <f ca="1">IF($BO10,OFFSET(SourceData!$BC$4,MATCH(BZ9,SourceData!$BC$5:$BC$28,0),MATCH($C13,SourceData!$BD$3:$BP$3,0)),U10*U13)</f>
        <v>254.1</v>
      </c>
      <c r="CA10" s="84">
        <f ca="1">IF($BO10,OFFSET(SourceData!$BC$4,MATCH(CA9,SourceData!$BC$5:$BC$28,0),MATCH($C13,SourceData!$BD$3:$BP$3,0)),V10*V13)</f>
        <v>263.7</v>
      </c>
      <c r="CB10" s="84">
        <f ca="1">IF($BO10,OFFSET(SourceData!$BC$4,MATCH(CB9,SourceData!$BC$5:$BC$28,0),MATCH($C13,SourceData!$BD$3:$BP$3,0)),W10*W13)</f>
        <v>273.59999999999997</v>
      </c>
      <c r="CC10" s="84">
        <f ca="1">IF($BO10,OFFSET(SourceData!$BC$4,MATCH(CC9,SourceData!$BC$5:$BC$28,0),MATCH($C13,SourceData!$BD$3:$BP$3,0)),X10*X13)</f>
        <v>283.5</v>
      </c>
      <c r="CD10" s="84">
        <f ca="1">IF($BO10,OFFSET(SourceData!$BC$4,MATCH(CD9,SourceData!$BC$5:$BC$28,0),MATCH($C13,SourceData!$BD$3:$BP$3,0)),Y10*Y13)</f>
        <v>294</v>
      </c>
      <c r="CE10" s="84">
        <f ca="1">IF($BO10,OFFSET(SourceData!$BC$4,MATCH(CE9,SourceData!$BC$5:$BC$28,0),MATCH($C13,SourceData!$BD$3:$BP$3,0)),Z10*Z13)</f>
        <v>305.09999999999997</v>
      </c>
      <c r="CF10" s="84">
        <f ca="1">IF($BO10,OFFSET(SourceData!$BC$4,MATCH(CF9,SourceData!$BC$5:$BC$28,0),MATCH($C13,SourceData!$BD$3:$BP$3,0)),AA10*AA13)</f>
        <v>316.41707902237584</v>
      </c>
      <c r="CG10" s="84">
        <f ca="1">IF($BO10,OFFSET(SourceData!$BC$4,MATCH(CG9,SourceData!$BC$5:$BC$28,0),MATCH($C13,SourceData!$BD$3:$BP$3,0)),AB10*AB13)</f>
        <v>328.1363427601101</v>
      </c>
      <c r="CH10" s="84">
        <f ca="1">IF($BO10,OFFSET(SourceData!$BC$4,MATCH(CH9,SourceData!$BC$5:$BC$28,0),MATCH($C13,SourceData!$BD$3:$BP$3,0)),AC10*AC13)</f>
        <v>340.27140575032041</v>
      </c>
      <c r="CI10" s="84">
        <f ca="1">IF($BO10,OFFSET(SourceData!$BC$4,MATCH(CI9,SourceData!$BC$5:$BC$28,0),MATCH($C13,SourceData!$BD$3:$BP$3,0)),AD10*AD13)</f>
        <v>352.83631815112449</v>
      </c>
      <c r="CJ10" s="84">
        <f ca="1">IF($BO10,OFFSET(SourceData!$BC$4,MATCH(CJ9,SourceData!$BC$5:$BC$28,0),MATCH($C13,SourceData!$BD$3:$BP$3,0)),AE10*AE13)</f>
        <v>365.64939121812245</v>
      </c>
      <c r="CK10" s="84">
        <f ca="1">IF($BO10,OFFSET(SourceData!$BC$4,MATCH(CK9,SourceData!$BC$5:$BC$28,0),MATCH($C13,SourceData!$BD$3:$BP$3,0)),AF10*AF13)</f>
        <v>379.13107658408296</v>
      </c>
      <c r="CL10" s="84">
        <f ca="1">IF($BO10,OFFSET(SourceData!$BC$4,MATCH(CL9,SourceData!$BC$5:$BC$28,0),MATCH($C13,SourceData!$BD$3:$BP$3,0)),AG10*AG13)</f>
        <v>525.18238218892418</v>
      </c>
      <c r="CM10" s="84">
        <f ca="1">IF($BO10,OFFSET(SourceData!$BC$4,MATCH(CM9,SourceData!$BC$5:$BC$28,0),MATCH($C13,SourceData!$BD$3:$BP$3,0)),AH10*AH13)</f>
        <v>754.31968761873077</v>
      </c>
      <c r="CN10" s="118" t="str">
        <f t="shared" ref="CN10:CN12" ca="1" si="184">CO10&amp;" "&amp;CP10&amp;" "&amp;CQ10&amp;" "&amp;CR10&amp;" "&amp;CS10&amp;" "&amp;CT10&amp;" "&amp;CU10&amp;" "&amp;CV10&amp;" "&amp;CW10&amp;" "&amp;CX10&amp;" "&amp;CY10&amp;" "&amp;CZ10&amp;" "&amp;DA10&amp;" "&amp;DB10&amp;" "&amp;DC10&amp;" "&amp;DD10&amp;" "&amp;DE10&amp;" "&amp;DF10&amp;" "&amp;DG10&amp;" "&amp;DH10&amp;" "&amp;DI10&amp;" "&amp;DJ10&amp;" "&amp;DK10&amp;" "&amp;DL10&amp;" "</f>
        <v xml:space="preserve">2.3 3.8 7.2 11 15.8 21.8 27 27 27.1 27 27 28.1 29.2 30.3 31.5 32.8 34 35.4 36.8 38.2 39.7 41.1 57 81.8 </v>
      </c>
      <c r="CO10" s="117">
        <f ca="1">ROUND(BP10*(1-AQ10)*(1-$AK10)/8.76,1)</f>
        <v>2.2999999999999998</v>
      </c>
      <c r="CP10" s="117">
        <f t="shared" ref="CP10:CP12" ca="1" si="185">ROUND(BQ10*(1-AR10)*(1-$AK10)/8.76,1)</f>
        <v>3.8</v>
      </c>
      <c r="CQ10" s="117">
        <f t="shared" ref="CQ10:CQ12" ca="1" si="186">ROUND(BR10*(1-AS10)*(1-$AK10)/8.76,1)</f>
        <v>7.2</v>
      </c>
      <c r="CR10" s="117">
        <f t="shared" ref="CR10:CR12" ca="1" si="187">ROUND(BS10*(1-AT10)*(1-$AK10)/8.76,1)</f>
        <v>11</v>
      </c>
      <c r="CS10" s="117">
        <f t="shared" ref="CS10:CS12" ca="1" si="188">ROUND(BT10*(1-AU10)*(1-$AK10)/8.76,1)</f>
        <v>15.8</v>
      </c>
      <c r="CT10" s="117">
        <f t="shared" ref="CT10:CT12" ca="1" si="189">ROUND(BU10*(1-AV10)*(1-$AK10)/8.76,1)</f>
        <v>21.8</v>
      </c>
      <c r="CU10" s="117">
        <f t="shared" ref="CU10:CU12" ca="1" si="190">ROUND(BV10*(1-AW10)*(1-$AK10)/8.76,1)</f>
        <v>27</v>
      </c>
      <c r="CV10" s="117">
        <f t="shared" ref="CV10:CV12" ca="1" si="191">ROUND(BW10*(1-AX10)*(1-$AK10)/8.76,1)</f>
        <v>27</v>
      </c>
      <c r="CW10" s="117">
        <f t="shared" ref="CW10:CW12" ca="1" si="192">ROUND(BX10*(1-AY10)*(1-$AK10)/8.76,1)</f>
        <v>27.1</v>
      </c>
      <c r="CX10" s="117">
        <f t="shared" ref="CX10:CX12" ca="1" si="193">ROUND(BY10*(1-AZ10)*(1-$AK10)/8.76,1)</f>
        <v>27</v>
      </c>
      <c r="CY10" s="117">
        <f t="shared" ref="CY10:CY12" ca="1" si="194">ROUND(BZ10*(1-BA10)*(1-$AK10)/8.76,1)</f>
        <v>27</v>
      </c>
      <c r="CZ10" s="117">
        <f t="shared" ref="CZ10:CZ12" ca="1" si="195">ROUND(CA10*(1-BB10)*(1-$AK10)/8.76,1)</f>
        <v>28.1</v>
      </c>
      <c r="DA10" s="117">
        <f t="shared" ref="DA10:DA12" ca="1" si="196">ROUND(CB10*(1-BC10)*(1-$AK10)/8.76,1)</f>
        <v>29.2</v>
      </c>
      <c r="DB10" s="117">
        <f t="shared" ref="DB10:DB12" ca="1" si="197">ROUND(CC10*(1-BD10)*(1-$AK10)/8.76,1)</f>
        <v>30.3</v>
      </c>
      <c r="DC10" s="117">
        <f t="shared" ref="DC10:DC12" ca="1" si="198">ROUND(CD10*(1-BE10)*(1-$AK10)/8.76,1)</f>
        <v>31.5</v>
      </c>
      <c r="DD10" s="117">
        <f t="shared" ref="DD10:DD12" ca="1" si="199">ROUND(CE10*(1-BF10)*(1-$AK10)/8.76,1)</f>
        <v>32.799999999999997</v>
      </c>
      <c r="DE10" s="117">
        <f ca="1">ROUND(CF10*(1-BG10)*(1-$AK10)/8.76,1)</f>
        <v>34</v>
      </c>
      <c r="DF10" s="117">
        <f t="shared" ref="DF10:DF12" ca="1" si="200">ROUND(CG10*(1-BH10)*(1-$AK10)/8.76,1)</f>
        <v>35.4</v>
      </c>
      <c r="DG10" s="117">
        <f t="shared" ref="DG10:DG12" ca="1" si="201">ROUND(CH10*(1-BI10)*(1-$AK10)/8.76,1)</f>
        <v>36.799999999999997</v>
      </c>
      <c r="DH10" s="117">
        <f ca="1">ROUND(CI10*(1-BJ10)*(1-$AK10)/8.76,1)</f>
        <v>38.200000000000003</v>
      </c>
      <c r="DI10" s="117">
        <f t="shared" ref="DI10:DI12" ca="1" si="202">ROUND(CJ10*(1-BK10)*(1-$AK10)/8.76,1)</f>
        <v>39.700000000000003</v>
      </c>
      <c r="DJ10" s="117">
        <f ca="1">ROUND(CK10*(1-BL10)*(1-$AK10)/8.76,1)</f>
        <v>41.1</v>
      </c>
      <c r="DK10" s="117">
        <f ca="1">ROUND(CL10*(1-BM10)*(1-$AK10)/8.76,1)</f>
        <v>57</v>
      </c>
      <c r="DL10" s="117">
        <f t="shared" ref="DL10:DL12" ca="1" si="203">ROUND(CM10*(1-BN10)*(1-$AK10)/8.76,1)</f>
        <v>81.8</v>
      </c>
      <c r="DM10" s="118" t="str">
        <f t="shared" ref="DM10:DM12" si="204">DN10&amp;" "&amp;DO10&amp;" "&amp;DP10&amp;" "&amp;DQ10&amp;" "&amp;DR10&amp;" "&amp;DS10&amp;" "&amp;DT10&amp;" "&amp;DU10&amp;" "&amp;DV10&amp;" "&amp;DW10&amp;" "&amp;DX10&amp;" "&amp;DY10&amp;" "&amp;DZ10&amp;" "&amp;EA10&amp;" "&amp;EB10&amp;" "&amp;EC10&amp;" "&amp;ED10&amp;" "&amp;EE10&amp;" "&amp;EF10&amp;" "&amp;EG10&amp;" "&amp;EH10&amp;" "&amp;EI10&amp;" "&amp;EJ10&amp;" "&amp;EK10&amp;" "</f>
        <v xml:space="preserve">0.98 0.98 0.98 0.98 0.98 0.98 0.98 0.98 0.98 0.98 0.98 0.982 0.984 0.986 0.988 0.99 0.992 0.994 0.996 0.998 1 1 1 1 </v>
      </c>
      <c r="DN10" s="72">
        <f>1-AQ10</f>
        <v>0.98</v>
      </c>
      <c r="DO10" s="72">
        <f t="shared" ref="DO10:DO12" si="205">1-AR10</f>
        <v>0.98</v>
      </c>
      <c r="DP10" s="72">
        <f t="shared" ref="DP10:DP12" si="206">1-AS10</f>
        <v>0.98</v>
      </c>
      <c r="DQ10" s="72">
        <f t="shared" ref="DQ10:DQ12" si="207">1-AT10</f>
        <v>0.98</v>
      </c>
      <c r="DR10" s="72">
        <f t="shared" ref="DR10:DR12" si="208">1-AU10</f>
        <v>0.98</v>
      </c>
      <c r="DS10" s="72">
        <f t="shared" ref="DS10:DS12" si="209">1-AV10</f>
        <v>0.98</v>
      </c>
      <c r="DT10" s="72">
        <f t="shared" ref="DT10:DT12" si="210">1-AW10</f>
        <v>0.98</v>
      </c>
      <c r="DU10" s="72">
        <f t="shared" ref="DU10:DU12" si="211">1-AX10</f>
        <v>0.98</v>
      </c>
      <c r="DV10" s="72">
        <f t="shared" ref="DV10:DV12" si="212">1-AY10</f>
        <v>0.98</v>
      </c>
      <c r="DW10" s="72">
        <f t="shared" ref="DW10:DW12" si="213">1-AZ10</f>
        <v>0.98</v>
      </c>
      <c r="DX10" s="72">
        <f t="shared" ref="DX10:DX12" si="214">1-BA10</f>
        <v>0.98</v>
      </c>
      <c r="DY10" s="72">
        <f t="shared" ref="DY10:DY12" si="215">1-BB10</f>
        <v>0.98199999999999998</v>
      </c>
      <c r="DZ10" s="72">
        <f t="shared" ref="DZ10:DZ12" si="216">1-BC10</f>
        <v>0.98399999999999999</v>
      </c>
      <c r="EA10" s="72">
        <f t="shared" ref="EA10:EA12" si="217">1-BD10</f>
        <v>0.98599999999999999</v>
      </c>
      <c r="EB10" s="72">
        <f t="shared" ref="EB10:EB12" si="218">1-BE10</f>
        <v>0.98799999999999999</v>
      </c>
      <c r="EC10" s="72">
        <f t="shared" ref="EC10:EC12" si="219">1-BF10</f>
        <v>0.99</v>
      </c>
      <c r="ED10" s="72">
        <f t="shared" ref="ED10:ED12" si="220">1-BG10</f>
        <v>0.99199999999999999</v>
      </c>
      <c r="EE10" s="72">
        <f t="shared" ref="EE10:EE12" si="221">1-BH10</f>
        <v>0.99399999999999999</v>
      </c>
      <c r="EF10" s="72">
        <f t="shared" ref="EF10:EF12" si="222">1-BI10</f>
        <v>0.996</v>
      </c>
      <c r="EG10" s="72">
        <f t="shared" ref="EG10:EG12" si="223">1-BJ10</f>
        <v>0.998</v>
      </c>
      <c r="EH10" s="72">
        <f t="shared" ref="EH10:EH12" si="224">1-BK10</f>
        <v>1</v>
      </c>
      <c r="EI10" s="72">
        <f t="shared" ref="EI10:EI12" si="225">1-BL10</f>
        <v>1</v>
      </c>
      <c r="EJ10" s="72">
        <f t="shared" ref="EJ10:EJ12" si="226">1-BM10</f>
        <v>1</v>
      </c>
      <c r="EK10" s="72">
        <f t="shared" ref="EK10:EK12" si="227">1-BN10</f>
        <v>1</v>
      </c>
    </row>
    <row r="11" spans="1:141" x14ac:dyDescent="0.25">
      <c r="A11" t="str">
        <f t="shared" si="20"/>
        <v>UrbanGAM</v>
      </c>
      <c r="B11" t="str">
        <f>B6</f>
        <v>Urban</v>
      </c>
      <c r="C11" t="str">
        <f>IFERROR(VLOOKUP(D11,'For model'!$B$4:$C$16,2,FALSE),C10)</f>
        <v>GAM</v>
      </c>
      <c r="D11" t="s">
        <v>536</v>
      </c>
      <c r="E11" s="72">
        <f>1-E10-E12</f>
        <v>0.88</v>
      </c>
      <c r="F11" s="72">
        <f>1-F10-F12</f>
        <v>0.62</v>
      </c>
      <c r="G11" s="72">
        <f t="shared" ref="G11:H11" si="228">1-G10-G12</f>
        <v>0.64999999999999991</v>
      </c>
      <c r="H11" s="72">
        <f t="shared" si="228"/>
        <v>0.6</v>
      </c>
      <c r="I11" s="72">
        <f t="shared" ref="I11" si="229">1-I10-I12</f>
        <v>0.6</v>
      </c>
      <c r="K11" s="72">
        <f t="shared" ref="K11:K12" si="230">E11</f>
        <v>0.88</v>
      </c>
      <c r="L11" s="72">
        <f t="shared" ref="L11:O11" si="231">($P11-$K11)/($P$4-$K$4)+K11</f>
        <v>0.82799999999999996</v>
      </c>
      <c r="M11" s="72">
        <f t="shared" si="231"/>
        <v>0.77599999999999991</v>
      </c>
      <c r="N11" s="72">
        <f t="shared" si="231"/>
        <v>0.72399999999999987</v>
      </c>
      <c r="O11" s="72">
        <f t="shared" si="231"/>
        <v>0.67199999999999982</v>
      </c>
      <c r="P11" s="72">
        <f t="shared" ref="P11:P12" si="232">F11</f>
        <v>0.62</v>
      </c>
      <c r="Q11" s="72">
        <f t="shared" ref="Q11:T11" si="233">($U11-$P11)/($U$4-$P$4)+P11</f>
        <v>0.626</v>
      </c>
      <c r="R11" s="72">
        <f t="shared" si="233"/>
        <v>0.63200000000000001</v>
      </c>
      <c r="S11" s="72">
        <f t="shared" si="233"/>
        <v>0.63800000000000001</v>
      </c>
      <c r="T11" s="72">
        <f t="shared" si="233"/>
        <v>0.64400000000000002</v>
      </c>
      <c r="U11" s="72">
        <f t="shared" ref="U11:U12" si="234">G11</f>
        <v>0.64999999999999991</v>
      </c>
      <c r="V11" s="72">
        <f t="shared" ref="V11:V12" si="235">(AE11-U11)/(AE$4-U$4)+U11</f>
        <v>0.64499999999999991</v>
      </c>
      <c r="W11" s="72">
        <f t="shared" ref="W11:W12" si="236">(AE11-U11)/(AE$4-U$4)+V11</f>
        <v>0.6399999999999999</v>
      </c>
      <c r="X11" s="72">
        <f t="shared" ref="X11:X12" si="237">(AE11-U11)/(AE$4-U$4)+W11</f>
        <v>0.6349999999999999</v>
      </c>
      <c r="Y11" s="72">
        <f t="shared" ref="Y11:Y12" si="238">(AE11-U11)/(AE$4-U$4)+X11</f>
        <v>0.62999999999999989</v>
      </c>
      <c r="Z11" s="72">
        <f t="shared" ref="Z11:Z12" si="239">(AE11-U11)/(AE$4-U$4)+Y11</f>
        <v>0.62499999999999989</v>
      </c>
      <c r="AA11" s="72">
        <f t="shared" ref="AA11:AA12" si="240">(AE11-U11)/(AE$4-U$4)+Z11</f>
        <v>0.61999999999999988</v>
      </c>
      <c r="AB11" s="72">
        <f t="shared" ref="AB11:AB12" si="241">(AE11-U11)/(AE$4-U$4)+AA11</f>
        <v>0.61499999999999988</v>
      </c>
      <c r="AC11" s="72">
        <f t="shared" ref="AC11:AC12" si="242">(AE11-U11)/(AE$4-U$4)+AB11</f>
        <v>0.60999999999999988</v>
      </c>
      <c r="AD11" s="72">
        <f t="shared" ref="AD11:AD12" si="243">(AE11-U11)/(AE$4-U$4)+AC11</f>
        <v>0.60499999999999987</v>
      </c>
      <c r="AE11" s="72">
        <f t="shared" ref="AE11:AE12" si="244">H11</f>
        <v>0.6</v>
      </c>
      <c r="AF11" s="72">
        <f>(AH11-AE11)/(AH$4-AE$4)+AE11</f>
        <v>0.6</v>
      </c>
      <c r="AG11" s="72">
        <f t="shared" ref="AG11:AG12" si="245">(AE11+AH11)/2</f>
        <v>0.6</v>
      </c>
      <c r="AH11" s="72">
        <f>I11</f>
        <v>0.6</v>
      </c>
      <c r="AJ11" s="72" t="s">
        <v>548</v>
      </c>
      <c r="AK11" s="72">
        <f>AK10</f>
        <v>0.05</v>
      </c>
      <c r="AL11" s="111">
        <v>0.25</v>
      </c>
      <c r="AM11" s="72">
        <v>0.1</v>
      </c>
      <c r="AN11" s="72">
        <v>0.08</v>
      </c>
      <c r="AO11" s="72">
        <f>AN11</f>
        <v>0.08</v>
      </c>
      <c r="AP11" s="118" t="str">
        <f>AQ11&amp;" "&amp;AR11&amp;" "&amp;AS11&amp;" "&amp;AT11&amp;" "&amp;AU11&amp;" "&amp;AV11&amp;" "&amp;AW11&amp;" "&amp;AX11&amp;" "&amp;AY11&amp;" "&amp;AZ11&amp;" "&amp;BA11&amp;" "&amp;BB11&amp;" "&amp;BC11&amp;" "&amp;BD11&amp;" "&amp;BE11&amp;" "&amp;BF11&amp;" "&amp;BG11&amp;" "&amp;BH11&amp;" "&amp;BI11&amp;" "&amp;BJ11&amp;" "&amp;BK11&amp;" "&amp;BL11&amp;" "&amp;BM11&amp;" "&amp;BN11&amp;" "</f>
        <v xml:space="preserve">0.25 0.235 0.22 0.205 0.19 0.175 0.16 0.145 0.13 0.115 0.1 0.098 0.096 0.094 0.092 0.09 0.088 0.086 0.084 0.082 0.08 0.08 0.08 0.08 </v>
      </c>
      <c r="AQ11" s="72">
        <f t="shared" ref="AQ11:AQ12" si="246">AL11</f>
        <v>0.25</v>
      </c>
      <c r="AR11" s="72">
        <f t="shared" ref="AR11:AR12" si="247">(BA11-AQ11)/(BA$4-AQ$4)+AQ11</f>
        <v>0.23499999999999999</v>
      </c>
      <c r="AS11" s="72">
        <f t="shared" ref="AS11:AS12" si="248">(BA11-AQ11)/(BA$4-AQ$4)+AR11</f>
        <v>0.21999999999999997</v>
      </c>
      <c r="AT11" s="72">
        <f t="shared" ref="AT11:AT12" si="249">(BA11-AQ11)/(BA$4-AQ$4)+AS11</f>
        <v>0.20499999999999996</v>
      </c>
      <c r="AU11" s="72">
        <f t="shared" ref="AU11:AU12" si="250">(BA11-AQ11)/(BA$4-AQ$4)+AT11</f>
        <v>0.18999999999999995</v>
      </c>
      <c r="AV11" s="72">
        <f t="shared" ref="AV11:AV12" si="251">(BA11-AQ11)/(BA$4-AQ$4)+AU11</f>
        <v>0.17499999999999993</v>
      </c>
      <c r="AW11" s="72">
        <f t="shared" ref="AW11:AW12" si="252">(BA11-AQ11)/(BA$4-AQ$4)+AV11</f>
        <v>0.15999999999999992</v>
      </c>
      <c r="AX11" s="72">
        <f t="shared" ref="AX11:AX12" si="253">(BA11-AQ11)/(BA$4-AQ$4)+AW11</f>
        <v>0.14499999999999991</v>
      </c>
      <c r="AY11" s="72">
        <f t="shared" ref="AY11:AY12" si="254">(BA11-AQ11)/(BA$4-AQ$4)+AX11</f>
        <v>0.12999999999999989</v>
      </c>
      <c r="AZ11" s="72">
        <f t="shared" ref="AZ11:AZ12" si="255">(BA11-AQ11)/(BA$4-AQ$4)+AY11</f>
        <v>0.11499999999999989</v>
      </c>
      <c r="BA11" s="72">
        <f t="shared" ref="BA11:BA12" si="256">AM11</f>
        <v>0.1</v>
      </c>
      <c r="BB11" s="72">
        <f t="shared" ref="BB11:BB12" si="257">(BK11-BA11)/(BK$4-BA$4)+BA11</f>
        <v>9.8000000000000004E-2</v>
      </c>
      <c r="BC11" s="72">
        <f t="shared" ref="BC11:BC12" si="258">(BK11-BA11)/(BK$4-BA$4)+BB11</f>
        <v>9.6000000000000002E-2</v>
      </c>
      <c r="BD11" s="72">
        <f t="shared" ref="BD11:BD12" si="259">(BK11-BA11)/(BK$4-BA$4)+BC11</f>
        <v>9.4E-2</v>
      </c>
      <c r="BE11" s="72">
        <f t="shared" ref="BE11:BE12" si="260">(BK11-BA11)/(BK$4-BA$4)+BD11</f>
        <v>9.1999999999999998E-2</v>
      </c>
      <c r="BF11" s="72">
        <f t="shared" ref="BF11:BF12" si="261">(BK11-BA11)/(BK$4-BA$4)+BE11</f>
        <v>0.09</v>
      </c>
      <c r="BG11" s="72">
        <f t="shared" ref="BG11:BG12" si="262">(BK11-BA11)/(BK$4-BA$4)+BF11</f>
        <v>8.7999999999999995E-2</v>
      </c>
      <c r="BH11" s="72">
        <f t="shared" ref="BH11:BH12" si="263">(BK11-BA11)/(BK$4-BA$4)+BG11</f>
        <v>8.5999999999999993E-2</v>
      </c>
      <c r="BI11" s="72">
        <f t="shared" ref="BI11:BI12" si="264">(BK11-BA11)/(BK$4-BA$4)+BH11</f>
        <v>8.3999999999999991E-2</v>
      </c>
      <c r="BJ11" s="72">
        <f t="shared" ref="BJ11:BJ12" si="265">(BK11-BA11)/(BK$4-BA$4)+BI11</f>
        <v>8.199999999999999E-2</v>
      </c>
      <c r="BK11" s="72">
        <f t="shared" ref="BK11:BK12" si="266">AN11</f>
        <v>0.08</v>
      </c>
      <c r="BL11" s="72">
        <f>(BN11-BK11)/(BN$4-BK$4)+BK11</f>
        <v>0.08</v>
      </c>
      <c r="BM11" s="72">
        <f t="shared" ref="BM11:BM12" si="267">(BK11+BN11)/2</f>
        <v>0.08</v>
      </c>
      <c r="BN11" s="72">
        <f>AO11</f>
        <v>0.08</v>
      </c>
      <c r="BP11" s="84">
        <f ca="1">K11/(K11+K12)*(K13-BP10)</f>
        <v>192.72</v>
      </c>
      <c r="BQ11" s="84">
        <f t="shared" ref="BQ11" ca="1" si="268">L11/(L11+L12)*(L13-BQ10)</f>
        <v>197.892</v>
      </c>
      <c r="BR11" s="84">
        <f t="shared" ref="BR11" ca="1" si="269">M11/(M11+M12)*(M13-BR10)</f>
        <v>261.512</v>
      </c>
      <c r="BS11" s="84">
        <f t="shared" ref="BS11" ca="1" si="270">N11/(N11+N12)*(N13-BS10)</f>
        <v>299.73599999999999</v>
      </c>
      <c r="BT11" s="84">
        <f t="shared" ref="BT11" ca="1" si="271">O11/(O11+O12)*(O13-BT10)</f>
        <v>333.31200000000001</v>
      </c>
      <c r="BU11" s="84">
        <f t="shared" ref="BU11" ca="1" si="272">P11/(P11+P12)*(P13-BU10)</f>
        <v>363.31999999999994</v>
      </c>
      <c r="BV11" s="84">
        <f t="shared" ref="BV11" ca="1" si="273">Q11/(Q11+Q12)*(Q13-BV10)</f>
        <v>467.62199999999996</v>
      </c>
      <c r="BW11" s="84">
        <f t="shared" ref="BW11" ca="1" si="274">R11/(R11+R12)*(R13-BW10)</f>
        <v>487.27200000000005</v>
      </c>
      <c r="BX11" s="84">
        <f t="shared" ref="BX11" ca="1" si="275">S11/(S11+S12)*(S13-BX10)</f>
        <v>507.84799999999996</v>
      </c>
      <c r="BY11" s="84">
        <f t="shared" ref="BY11" ca="1" si="276">T11/(T11+T12)*(T13-BY10)</f>
        <v>528.72399999999993</v>
      </c>
      <c r="BZ11" s="84">
        <f t="shared" ref="BZ11" ca="1" si="277">U11/(U11+U12)*(U13-BZ10)</f>
        <v>550.54999999999995</v>
      </c>
      <c r="CA11" s="84">
        <f t="shared" ref="CA11" ca="1" si="278">V11/(V11+V12)*(V13-CA10)</f>
        <v>566.95499999999993</v>
      </c>
      <c r="CB11" s="84">
        <f t="shared" ref="CB11" ca="1" si="279">W11/(W11+W12)*(W13-CB10)</f>
        <v>583.68000000000006</v>
      </c>
      <c r="CC11" s="84">
        <f t="shared" ref="CC11" ca="1" si="280">X11/(X11+X12)*(X13-CC10)</f>
        <v>600.07499999999993</v>
      </c>
      <c r="CD11" s="84">
        <f t="shared" ref="CD11" ca="1" si="281">Y11/(Y11+Y12)*(Y13-CD10)</f>
        <v>617.4</v>
      </c>
      <c r="CE11" s="84">
        <f t="shared" ref="CE11" ca="1" si="282">Z11/(Z11+Z12)*(Z13-CE10)</f>
        <v>635.625</v>
      </c>
      <c r="CF11" s="84">
        <f t="shared" ref="CF11" ca="1" si="283">AA11/(AA11+AA12)*(AA13-CF10)</f>
        <v>653.9286299795765</v>
      </c>
      <c r="CG11" s="84">
        <f t="shared" ref="CG11" ca="1" si="284">AB11/(AB11+AB12)*(AB13-CG10)</f>
        <v>672.67950265822572</v>
      </c>
      <c r="CH11" s="84">
        <f t="shared" ref="CH11" ca="1" si="285">AC11/(AC11+AC12)*(AC13-CH10)</f>
        <v>691.88519169231824</v>
      </c>
      <c r="CI11" s="84">
        <f t="shared" ref="CI11" ca="1" si="286">AD11/(AD11+AD12)*(AD13-CI10)</f>
        <v>711.55324160476766</v>
      </c>
      <c r="CJ11" s="84">
        <f t="shared" ref="CJ11" ca="1" si="287">AE11/(AE11+AE12)*(AE13-CJ10)</f>
        <v>731.29878243624501</v>
      </c>
      <c r="CK11" s="84">
        <f t="shared" ref="CK11" ca="1" si="288">AF11/(AF11+AF12)*(AF13-CK10)</f>
        <v>758.26215316816604</v>
      </c>
      <c r="CL11" s="84">
        <f t="shared" ref="CL11" ca="1" si="289">AG11/(AG11+AG12)*(AG13-CL10)</f>
        <v>1050.3647643778484</v>
      </c>
      <c r="CM11" s="84">
        <f t="shared" ref="CM11" ca="1" si="290">AH11/(AH11+AH12)*(AH13-CM10)</f>
        <v>1508.6393752374615</v>
      </c>
      <c r="CN11" s="118" t="str">
        <f t="shared" ca="1" si="184"/>
        <v xml:space="preserve">15.7 16.4 22.1 25.8 29.3 32.5 42.6 45.2 47.9 50.7 53.7 55.5 57.2 59 60.8 62.7 64.7 66.7 68.7 70.8 73 75.7 104.8 150.5 </v>
      </c>
      <c r="CO11" s="117">
        <f t="shared" ref="CO11:CO12" ca="1" si="291">ROUND(BP11*(1-AQ11)*(1-$AK11)/8.76,1)</f>
        <v>15.7</v>
      </c>
      <c r="CP11" s="117">
        <f t="shared" ca="1" si="185"/>
        <v>16.399999999999999</v>
      </c>
      <c r="CQ11" s="117">
        <f t="shared" ca="1" si="186"/>
        <v>22.1</v>
      </c>
      <c r="CR11" s="117">
        <f t="shared" ca="1" si="187"/>
        <v>25.8</v>
      </c>
      <c r="CS11" s="117">
        <f t="shared" ca="1" si="188"/>
        <v>29.3</v>
      </c>
      <c r="CT11" s="117">
        <f t="shared" ca="1" si="189"/>
        <v>32.5</v>
      </c>
      <c r="CU11" s="117">
        <f t="shared" ca="1" si="190"/>
        <v>42.6</v>
      </c>
      <c r="CV11" s="117">
        <f t="shared" ca="1" si="191"/>
        <v>45.2</v>
      </c>
      <c r="CW11" s="117">
        <f t="shared" ca="1" si="192"/>
        <v>47.9</v>
      </c>
      <c r="CX11" s="117">
        <f t="shared" ca="1" si="193"/>
        <v>50.7</v>
      </c>
      <c r="CY11" s="117">
        <f t="shared" ca="1" si="194"/>
        <v>53.7</v>
      </c>
      <c r="CZ11" s="117">
        <f t="shared" ca="1" si="195"/>
        <v>55.5</v>
      </c>
      <c r="DA11" s="117">
        <f t="shared" ca="1" si="196"/>
        <v>57.2</v>
      </c>
      <c r="DB11" s="117">
        <f t="shared" ca="1" si="197"/>
        <v>59</v>
      </c>
      <c r="DC11" s="117">
        <f t="shared" ca="1" si="198"/>
        <v>60.8</v>
      </c>
      <c r="DD11" s="117">
        <f t="shared" ca="1" si="199"/>
        <v>62.7</v>
      </c>
      <c r="DE11" s="117">
        <f t="shared" ref="DE11:DE12" ca="1" si="292">ROUND(CF11*(1-BG11)*(1-$AK11)/8.76,1)</f>
        <v>64.7</v>
      </c>
      <c r="DF11" s="117">
        <f t="shared" ca="1" si="200"/>
        <v>66.7</v>
      </c>
      <c r="DG11" s="117">
        <f t="shared" ca="1" si="201"/>
        <v>68.7</v>
      </c>
      <c r="DH11" s="117">
        <f t="shared" ref="DH11:DH12" ca="1" si="293">ROUND(CI11*(1-BJ11)*(1-$AK11)/8.76,1)</f>
        <v>70.8</v>
      </c>
      <c r="DI11" s="117">
        <f t="shared" ca="1" si="202"/>
        <v>73</v>
      </c>
      <c r="DJ11" s="117">
        <f t="shared" ref="DJ11:DJ12" ca="1" si="294">ROUND(CK11*(1-BL11)*(1-$AK11)/8.76,1)</f>
        <v>75.7</v>
      </c>
      <c r="DK11" s="117">
        <f t="shared" ref="DK11:DK12" ca="1" si="295">ROUND(CL11*(1-BM11)*(1-$AK11)/8.76,1)</f>
        <v>104.8</v>
      </c>
      <c r="DL11" s="117">
        <f t="shared" ca="1" si="203"/>
        <v>150.5</v>
      </c>
      <c r="DM11" s="118" t="str">
        <f t="shared" si="204"/>
        <v xml:space="preserve">0.75 0.765 0.78 0.795 0.81 0.825 0.84 0.855 0.87 0.885 0.9 0.902 0.904 0.906 0.908 0.91 0.912 0.914 0.916 0.918 0.92 0.92 0.92 0.92 </v>
      </c>
      <c r="DN11" s="72">
        <f t="shared" ref="DN11:DN12" si="296">1-AQ11</f>
        <v>0.75</v>
      </c>
      <c r="DO11" s="72">
        <f t="shared" si="205"/>
        <v>0.76500000000000001</v>
      </c>
      <c r="DP11" s="72">
        <f t="shared" si="206"/>
        <v>0.78</v>
      </c>
      <c r="DQ11" s="72">
        <f t="shared" si="207"/>
        <v>0.79500000000000004</v>
      </c>
      <c r="DR11" s="72">
        <f t="shared" si="208"/>
        <v>0.81</v>
      </c>
      <c r="DS11" s="72">
        <f t="shared" si="209"/>
        <v>0.82500000000000007</v>
      </c>
      <c r="DT11" s="72">
        <f t="shared" si="210"/>
        <v>0.84000000000000008</v>
      </c>
      <c r="DU11" s="72">
        <f t="shared" si="211"/>
        <v>0.85500000000000009</v>
      </c>
      <c r="DV11" s="72">
        <f t="shared" si="212"/>
        <v>0.87000000000000011</v>
      </c>
      <c r="DW11" s="72">
        <f t="shared" si="213"/>
        <v>0.88500000000000012</v>
      </c>
      <c r="DX11" s="72">
        <f t="shared" si="214"/>
        <v>0.9</v>
      </c>
      <c r="DY11" s="72">
        <f t="shared" si="215"/>
        <v>0.90200000000000002</v>
      </c>
      <c r="DZ11" s="72">
        <f t="shared" si="216"/>
        <v>0.90400000000000003</v>
      </c>
      <c r="EA11" s="72">
        <f t="shared" si="217"/>
        <v>0.90600000000000003</v>
      </c>
      <c r="EB11" s="72">
        <f t="shared" si="218"/>
        <v>0.90800000000000003</v>
      </c>
      <c r="EC11" s="72">
        <f t="shared" si="219"/>
        <v>0.91</v>
      </c>
      <c r="ED11" s="72">
        <f t="shared" si="220"/>
        <v>0.91200000000000003</v>
      </c>
      <c r="EE11" s="72">
        <f t="shared" si="221"/>
        <v>0.91400000000000003</v>
      </c>
      <c r="EF11" s="72">
        <f t="shared" si="222"/>
        <v>0.91600000000000004</v>
      </c>
      <c r="EG11" s="72">
        <f t="shared" si="223"/>
        <v>0.91800000000000004</v>
      </c>
      <c r="EH11" s="72">
        <f t="shared" si="224"/>
        <v>0.92</v>
      </c>
      <c r="EI11" s="72">
        <f t="shared" si="225"/>
        <v>0.92</v>
      </c>
      <c r="EJ11" s="72">
        <f t="shared" si="226"/>
        <v>0.92</v>
      </c>
      <c r="EK11" s="72">
        <f t="shared" si="227"/>
        <v>0.92</v>
      </c>
    </row>
    <row r="12" spans="1:141" x14ac:dyDescent="0.25">
      <c r="A12" t="str">
        <f t="shared" si="20"/>
        <v>RuralGAM</v>
      </c>
      <c r="B12" t="str">
        <f>B7</f>
        <v>Rural</v>
      </c>
      <c r="C12" t="str">
        <f>IFERROR(VLOOKUP(D12,'For model'!$B$4:$C$16,2,FALSE),C11)</f>
        <v>GAM</v>
      </c>
      <c r="D12" t="s">
        <v>518</v>
      </c>
      <c r="E12" s="72">
        <v>0.02</v>
      </c>
      <c r="F12" s="72">
        <v>0.03</v>
      </c>
      <c r="G12" s="72">
        <v>0.05</v>
      </c>
      <c r="H12" s="72">
        <v>0.1</v>
      </c>
      <c r="I12" s="72">
        <v>0.1</v>
      </c>
      <c r="K12" s="72">
        <f t="shared" si="230"/>
        <v>0.02</v>
      </c>
      <c r="L12" s="72">
        <f t="shared" ref="L12:O12" si="297">($P12-$K12)/($P$4-$K$4)+K12</f>
        <v>2.1999999999999999E-2</v>
      </c>
      <c r="M12" s="72">
        <f t="shared" si="297"/>
        <v>2.3999999999999997E-2</v>
      </c>
      <c r="N12" s="72">
        <f t="shared" si="297"/>
        <v>2.5999999999999995E-2</v>
      </c>
      <c r="O12" s="72">
        <f t="shared" si="297"/>
        <v>2.7999999999999994E-2</v>
      </c>
      <c r="P12" s="72">
        <f t="shared" si="232"/>
        <v>0.03</v>
      </c>
      <c r="Q12" s="72">
        <f t="shared" ref="Q12:T12" si="298">($U12-$P12)/($U$4-$P$4)+P12</f>
        <v>3.4000000000000002E-2</v>
      </c>
      <c r="R12" s="72">
        <f t="shared" si="298"/>
        <v>3.8000000000000006E-2</v>
      </c>
      <c r="S12" s="72">
        <f t="shared" si="298"/>
        <v>4.200000000000001E-2</v>
      </c>
      <c r="T12" s="72">
        <f t="shared" si="298"/>
        <v>4.6000000000000013E-2</v>
      </c>
      <c r="U12" s="72">
        <f t="shared" si="234"/>
        <v>0.05</v>
      </c>
      <c r="V12" s="72">
        <f t="shared" si="235"/>
        <v>5.5E-2</v>
      </c>
      <c r="W12" s="72">
        <f t="shared" si="236"/>
        <v>0.06</v>
      </c>
      <c r="X12" s="72">
        <f t="shared" si="237"/>
        <v>6.5000000000000002E-2</v>
      </c>
      <c r="Y12" s="72">
        <f t="shared" si="238"/>
        <v>7.0000000000000007E-2</v>
      </c>
      <c r="Z12" s="72">
        <f t="shared" si="239"/>
        <v>7.5000000000000011E-2</v>
      </c>
      <c r="AA12" s="72">
        <f t="shared" si="240"/>
        <v>8.0000000000000016E-2</v>
      </c>
      <c r="AB12" s="72">
        <f t="shared" si="241"/>
        <v>8.500000000000002E-2</v>
      </c>
      <c r="AC12" s="72">
        <f t="shared" si="242"/>
        <v>9.0000000000000024E-2</v>
      </c>
      <c r="AD12" s="72">
        <f t="shared" si="243"/>
        <v>9.5000000000000029E-2</v>
      </c>
      <c r="AE12" s="72">
        <f t="shared" si="244"/>
        <v>0.1</v>
      </c>
      <c r="AF12" s="72">
        <f>(AH12-AE12)/(AH$4-AE$4)+AE12</f>
        <v>0.1</v>
      </c>
      <c r="AG12" s="72">
        <f t="shared" si="245"/>
        <v>0.1</v>
      </c>
      <c r="AH12" s="72">
        <f>I12</f>
        <v>0.1</v>
      </c>
      <c r="AJ12" s="116">
        <f>1-((1-AL12)*K12+(1-AL11)*K11+(1-AL10)*K10)*(1-AK10)</f>
        <v>0.26660000000000006</v>
      </c>
      <c r="AK12" s="72">
        <f>AK11</f>
        <v>0.05</v>
      </c>
      <c r="AL12" s="72">
        <v>0.3</v>
      </c>
      <c r="AM12" s="72">
        <v>0.2</v>
      </c>
      <c r="AN12" s="72">
        <v>0.2</v>
      </c>
      <c r="AO12" s="72">
        <f>AN12</f>
        <v>0.2</v>
      </c>
      <c r="AP12" s="118" t="str">
        <f>AQ12&amp;" "&amp;AR12&amp;" "&amp;AS12&amp;" "&amp;AT12&amp;" "&amp;AU12&amp;" "&amp;AV12&amp;" "&amp;AW12&amp;" "&amp;AX12&amp;" "&amp;AY12&amp;" "&amp;AZ12&amp;" "&amp;BA12&amp;" "&amp;BB12&amp;" "&amp;BC12&amp;" "&amp;BD12&amp;" "&amp;BE12&amp;" "&amp;BF12&amp;" "&amp;BG12&amp;" "&amp;BH12&amp;" "&amp;BI12&amp;" "&amp;BJ12&amp;" "&amp;BK12&amp;" "&amp;BL12&amp;" "&amp;BM12&amp;" "&amp;BN12&amp;" "</f>
        <v xml:space="preserve">0.3 0.29 0.28 0.27 0.26 0.25 0.24 0.23 0.22 0.21 0.2 0.2 0.2 0.2 0.2 0.2 0.2 0.2 0.2 0.2 0.2 0.2 0.2 0.2 </v>
      </c>
      <c r="AQ12" s="72">
        <f t="shared" si="246"/>
        <v>0.3</v>
      </c>
      <c r="AR12" s="72">
        <f t="shared" si="247"/>
        <v>0.28999999999999998</v>
      </c>
      <c r="AS12" s="72">
        <f t="shared" si="248"/>
        <v>0.27999999999999997</v>
      </c>
      <c r="AT12" s="72">
        <f t="shared" si="249"/>
        <v>0.26999999999999996</v>
      </c>
      <c r="AU12" s="72">
        <f t="shared" si="250"/>
        <v>0.25999999999999995</v>
      </c>
      <c r="AV12" s="72">
        <f t="shared" si="251"/>
        <v>0.24999999999999994</v>
      </c>
      <c r="AW12" s="72">
        <f t="shared" si="252"/>
        <v>0.23999999999999994</v>
      </c>
      <c r="AX12" s="72">
        <f t="shared" si="253"/>
        <v>0.22999999999999993</v>
      </c>
      <c r="AY12" s="72">
        <f t="shared" si="254"/>
        <v>0.21999999999999992</v>
      </c>
      <c r="AZ12" s="72">
        <f t="shared" si="255"/>
        <v>0.20999999999999991</v>
      </c>
      <c r="BA12" s="72">
        <f t="shared" si="256"/>
        <v>0.2</v>
      </c>
      <c r="BB12" s="72">
        <f t="shared" si="257"/>
        <v>0.2</v>
      </c>
      <c r="BC12" s="72">
        <f t="shared" si="258"/>
        <v>0.2</v>
      </c>
      <c r="BD12" s="72">
        <f t="shared" si="259"/>
        <v>0.2</v>
      </c>
      <c r="BE12" s="72">
        <f t="shared" si="260"/>
        <v>0.2</v>
      </c>
      <c r="BF12" s="72">
        <f t="shared" si="261"/>
        <v>0.2</v>
      </c>
      <c r="BG12" s="72">
        <f t="shared" si="262"/>
        <v>0.2</v>
      </c>
      <c r="BH12" s="72">
        <f t="shared" si="263"/>
        <v>0.2</v>
      </c>
      <c r="BI12" s="72">
        <f t="shared" si="264"/>
        <v>0.2</v>
      </c>
      <c r="BJ12" s="72">
        <f t="shared" si="265"/>
        <v>0.2</v>
      </c>
      <c r="BK12" s="72">
        <f t="shared" si="266"/>
        <v>0.2</v>
      </c>
      <c r="BL12" s="72">
        <f>(BN12-BK12)/(BN$4-BK$4)+BK12</f>
        <v>0.2</v>
      </c>
      <c r="BM12" s="72">
        <f t="shared" si="267"/>
        <v>0.2</v>
      </c>
      <c r="BN12" s="72">
        <f>AO12</f>
        <v>0.2</v>
      </c>
      <c r="BP12" s="84">
        <f ca="1">K12/(K11+K12)*(K13-BP10)</f>
        <v>4.38</v>
      </c>
      <c r="BQ12" s="84">
        <f t="shared" ref="BQ12" ca="1" si="299">L12/(L11+L12)*(L13-BQ10)</f>
        <v>5.258</v>
      </c>
      <c r="BR12" s="84">
        <f t="shared" ref="BR12" ca="1" si="300">M12/(M11+M12)*(M13-BR10)</f>
        <v>8.088000000000001</v>
      </c>
      <c r="BS12" s="84">
        <f t="shared" ref="BS12" ca="1" si="301">N12/(N11+N12)*(N13-BS10)</f>
        <v>10.763999999999999</v>
      </c>
      <c r="BT12" s="84">
        <f t="shared" ref="BT12" ca="1" si="302">O12/(O11+O12)*(O13-BT10)</f>
        <v>13.888000000000002</v>
      </c>
      <c r="BU12" s="84">
        <f t="shared" ref="BU12" ca="1" si="303">P12/(P11+P12)*(P13-BU10)</f>
        <v>17.579999999999998</v>
      </c>
      <c r="BV12" s="84">
        <f t="shared" ref="BV12" ca="1" si="304">Q12/(Q11+Q12)*(Q13-BV10)</f>
        <v>25.398</v>
      </c>
      <c r="BW12" s="84">
        <f t="shared" ref="BW12" ca="1" si="305">R12/(R11+R12)*(R13-BW10)</f>
        <v>29.298000000000005</v>
      </c>
      <c r="BX12" s="84">
        <f t="shared" ref="BX12" ca="1" si="306">S12/(S11+S12)*(S13-BX10)</f>
        <v>33.432000000000002</v>
      </c>
      <c r="BY12" s="84">
        <f t="shared" ref="BY12" ca="1" si="307">T12/(T11+T12)*(T13-BY10)</f>
        <v>37.766000000000005</v>
      </c>
      <c r="BZ12" s="84">
        <f t="shared" ref="BZ12" ca="1" si="308">U12/(U11+U12)*(U13-BZ10)</f>
        <v>42.35</v>
      </c>
      <c r="CA12" s="84">
        <f t="shared" ref="CA12" ca="1" si="309">V12/(V11+V12)*(V13-CA10)</f>
        <v>48.345000000000006</v>
      </c>
      <c r="CB12" s="84">
        <f t="shared" ref="CB12" ca="1" si="310">W12/(W11+W12)*(W13-CB10)</f>
        <v>54.720000000000006</v>
      </c>
      <c r="CC12" s="84">
        <f t="shared" ref="CC12" ca="1" si="311">X12/(X11+X12)*(X13-CC10)</f>
        <v>61.425000000000004</v>
      </c>
      <c r="CD12" s="84">
        <f t="shared" ref="CD12" ca="1" si="312">Y12/(Y11+Y12)*(Y13-CD10)</f>
        <v>68.600000000000009</v>
      </c>
      <c r="CE12" s="84">
        <f t="shared" ref="CE12" ca="1" si="313">Z12/(Z11+Z12)*(Z13-CE10)</f>
        <v>76.27500000000002</v>
      </c>
      <c r="CF12" s="84">
        <f t="shared" ref="CF12" ca="1" si="314">AA12/(AA11+AA12)*(AA13-CF10)</f>
        <v>84.377887739300235</v>
      </c>
      <c r="CG12" s="84">
        <f t="shared" ref="CG12" ca="1" si="315">AB12/(AB11+AB12)*(AB13-CG10)</f>
        <v>92.971963782031239</v>
      </c>
      <c r="CH12" s="84">
        <f t="shared" ref="CH12" ca="1" si="316">AC12/(AC11+AC12)*(AC13-CH10)</f>
        <v>102.08142172509618</v>
      </c>
      <c r="CI12" s="84">
        <f t="shared" ref="CI12" ca="1" si="317">AD12/(AD11+AD12)*(AD13-CI10)</f>
        <v>111.73150074785613</v>
      </c>
      <c r="CJ12" s="84">
        <f t="shared" ref="CJ12" ca="1" si="318">AE12/(AE11+AE12)*(AE13-CJ10)</f>
        <v>121.88313040604085</v>
      </c>
      <c r="CK12" s="84">
        <f t="shared" ref="CK12" ca="1" si="319">AF12/(AF11+AF12)*(AF13-CK10)</f>
        <v>126.37702552802769</v>
      </c>
      <c r="CL12" s="84">
        <f t="shared" ref="CL12" ca="1" si="320">AG12/(AG11+AG12)*(AG13-CL10)</f>
        <v>175.06079406297474</v>
      </c>
      <c r="CM12" s="84">
        <f t="shared" ref="CM12" ca="1" si="321">AH12/(AH11+AH12)*(AH13-CM10)</f>
        <v>251.43989587291028</v>
      </c>
      <c r="CN12" s="118" t="str">
        <f t="shared" ca="1" si="184"/>
        <v xml:space="preserve">0.3 0.4 0.6 0.9 1.1 1.4 2.1 2.4 2.8 3.2 3.7 4.2 4.7 5.3 6 6.6 7.3 8.1 8.9 9.7 10.6 11 15.2 21.8 </v>
      </c>
      <c r="CO12" s="117">
        <f t="shared" ca="1" si="291"/>
        <v>0.3</v>
      </c>
      <c r="CP12" s="117">
        <f t="shared" ca="1" si="185"/>
        <v>0.4</v>
      </c>
      <c r="CQ12" s="117">
        <f t="shared" ca="1" si="186"/>
        <v>0.6</v>
      </c>
      <c r="CR12" s="117">
        <f t="shared" ca="1" si="187"/>
        <v>0.9</v>
      </c>
      <c r="CS12" s="117">
        <f t="shared" ca="1" si="188"/>
        <v>1.1000000000000001</v>
      </c>
      <c r="CT12" s="117">
        <f t="shared" ca="1" si="189"/>
        <v>1.4</v>
      </c>
      <c r="CU12" s="117">
        <f t="shared" ca="1" si="190"/>
        <v>2.1</v>
      </c>
      <c r="CV12" s="117">
        <f t="shared" ca="1" si="191"/>
        <v>2.4</v>
      </c>
      <c r="CW12" s="117">
        <f t="shared" ca="1" si="192"/>
        <v>2.8</v>
      </c>
      <c r="CX12" s="117">
        <f t="shared" ca="1" si="193"/>
        <v>3.2</v>
      </c>
      <c r="CY12" s="117">
        <f t="shared" ca="1" si="194"/>
        <v>3.7</v>
      </c>
      <c r="CZ12" s="117">
        <f t="shared" ca="1" si="195"/>
        <v>4.2</v>
      </c>
      <c r="DA12" s="117">
        <f t="shared" ca="1" si="196"/>
        <v>4.7</v>
      </c>
      <c r="DB12" s="117">
        <f t="shared" ca="1" si="197"/>
        <v>5.3</v>
      </c>
      <c r="DC12" s="117">
        <f t="shared" ca="1" si="198"/>
        <v>6</v>
      </c>
      <c r="DD12" s="117">
        <f t="shared" ca="1" si="199"/>
        <v>6.6</v>
      </c>
      <c r="DE12" s="117">
        <f t="shared" ca="1" si="292"/>
        <v>7.3</v>
      </c>
      <c r="DF12" s="117">
        <f t="shared" ca="1" si="200"/>
        <v>8.1</v>
      </c>
      <c r="DG12" s="117">
        <f t="shared" ca="1" si="201"/>
        <v>8.9</v>
      </c>
      <c r="DH12" s="117">
        <f t="shared" ca="1" si="293"/>
        <v>9.6999999999999993</v>
      </c>
      <c r="DI12" s="117">
        <f t="shared" ca="1" si="202"/>
        <v>10.6</v>
      </c>
      <c r="DJ12" s="117">
        <f t="shared" ca="1" si="294"/>
        <v>11</v>
      </c>
      <c r="DK12" s="117">
        <f t="shared" ca="1" si="295"/>
        <v>15.2</v>
      </c>
      <c r="DL12" s="117">
        <f t="shared" ca="1" si="203"/>
        <v>21.8</v>
      </c>
      <c r="DM12" s="118" t="str">
        <f t="shared" si="204"/>
        <v xml:space="preserve">0.7 0.71 0.72 0.73 0.74 0.75 0.76 0.77 0.78 0.79 0.8 0.8 0.8 0.8 0.8 0.8 0.8 0.8 0.8 0.8 0.8 0.8 0.8 0.8 </v>
      </c>
      <c r="DN12" s="72">
        <f t="shared" si="296"/>
        <v>0.7</v>
      </c>
      <c r="DO12" s="72">
        <f t="shared" si="205"/>
        <v>0.71</v>
      </c>
      <c r="DP12" s="72">
        <f t="shared" si="206"/>
        <v>0.72</v>
      </c>
      <c r="DQ12" s="72">
        <f t="shared" si="207"/>
        <v>0.73</v>
      </c>
      <c r="DR12" s="72">
        <f t="shared" si="208"/>
        <v>0.74</v>
      </c>
      <c r="DS12" s="72">
        <f t="shared" si="209"/>
        <v>0.75</v>
      </c>
      <c r="DT12" s="72">
        <f t="shared" si="210"/>
        <v>0.76</v>
      </c>
      <c r="DU12" s="72">
        <f t="shared" si="211"/>
        <v>0.77</v>
      </c>
      <c r="DV12" s="72">
        <f t="shared" si="212"/>
        <v>0.78</v>
      </c>
      <c r="DW12" s="72">
        <f t="shared" si="213"/>
        <v>0.79</v>
      </c>
      <c r="DX12" s="72">
        <f t="shared" si="214"/>
        <v>0.8</v>
      </c>
      <c r="DY12" s="72">
        <f t="shared" si="215"/>
        <v>0.8</v>
      </c>
      <c r="DZ12" s="72">
        <f t="shared" si="216"/>
        <v>0.8</v>
      </c>
      <c r="EA12" s="72">
        <f t="shared" si="217"/>
        <v>0.8</v>
      </c>
      <c r="EB12" s="72">
        <f t="shared" si="218"/>
        <v>0.8</v>
      </c>
      <c r="EC12" s="72">
        <f t="shared" si="219"/>
        <v>0.8</v>
      </c>
      <c r="ED12" s="72">
        <f t="shared" si="220"/>
        <v>0.8</v>
      </c>
      <c r="EE12" s="72">
        <f t="shared" si="221"/>
        <v>0.8</v>
      </c>
      <c r="EF12" s="72">
        <f t="shared" si="222"/>
        <v>0.8</v>
      </c>
      <c r="EG12" s="72">
        <f t="shared" si="223"/>
        <v>0.8</v>
      </c>
      <c r="EH12" s="72">
        <f t="shared" si="224"/>
        <v>0.8</v>
      </c>
      <c r="EI12" s="72">
        <f t="shared" si="225"/>
        <v>0.8</v>
      </c>
      <c r="EJ12" s="72">
        <f t="shared" si="226"/>
        <v>0.8</v>
      </c>
      <c r="EK12" s="72">
        <f t="shared" si="227"/>
        <v>0.8</v>
      </c>
    </row>
    <row r="13" spans="1:141" x14ac:dyDescent="0.25">
      <c r="A13" t="str">
        <f t="shared" si="20"/>
        <v>GAM</v>
      </c>
      <c r="C13" t="str">
        <f>IFERROR(VLOOKUP(D13,'For model'!$B$4:$C$16,2,FALSE),C12)</f>
        <v>GAM</v>
      </c>
      <c r="D13" t="s">
        <v>537</v>
      </c>
      <c r="K13" s="84">
        <f ca="1">OFFSET(SourceData!$BS$4,MATCH(K9,SourceData!$BS$5:$BS$28,0),MATCH($C13,SourceData!$BT$3:$CF$3,0))</f>
        <v>219</v>
      </c>
      <c r="L13" s="84">
        <f ca="1">OFFSET(SourceData!$BS$4,MATCH(L9,SourceData!$BS$5:$BS$28,0),MATCH($C13,SourceData!$BT$3:$CF$3,0))</f>
        <v>239</v>
      </c>
      <c r="M13" s="84">
        <f ca="1">OFFSET(SourceData!$BS$4,MATCH(M9,SourceData!$BS$5:$BS$28,0),MATCH($C13,SourceData!$BT$3:$CF$3,0))</f>
        <v>337</v>
      </c>
      <c r="N13" s="84">
        <f ca="1">OFFSET(SourceData!$BS$4,MATCH(N9,SourceData!$BS$5:$BS$28,0),MATCH($C13,SourceData!$BT$3:$CF$3,0))</f>
        <v>414</v>
      </c>
      <c r="O13" s="84">
        <f ca="1">OFFSET(SourceData!$BS$4,MATCH(O9,SourceData!$BS$5:$BS$28,0),MATCH($C13,SourceData!$BT$3:$CF$3,0))</f>
        <v>496</v>
      </c>
      <c r="P13" s="84">
        <f ca="1">OFFSET(SourceData!$BS$4,MATCH(P9,SourceData!$BS$5:$BS$28,0),MATCH($C13,SourceData!$BT$3:$CF$3,0))</f>
        <v>586</v>
      </c>
      <c r="Q13" s="84">
        <f ca="1">OFFSET(SourceData!$BS$4,MATCH(Q9,SourceData!$BS$5:$BS$28,0),MATCH($C13,SourceData!$BT$3:$CF$3,0))</f>
        <v>747</v>
      </c>
      <c r="R13" s="84">
        <f ca="1">OFFSET(SourceData!$BS$4,MATCH(R9,SourceData!$BS$5:$BS$28,0),MATCH($C13,SourceData!$BT$3:$CF$3,0))</f>
        <v>771</v>
      </c>
      <c r="S13" s="84">
        <f ca="1">OFFSET(SourceData!$BS$4,MATCH(S9,SourceData!$BS$5:$BS$28,0),MATCH($C13,SourceData!$BT$3:$CF$3,0))</f>
        <v>796</v>
      </c>
      <c r="T13" s="84">
        <f ca="1">OFFSET(SourceData!$BS$4,MATCH(T9,SourceData!$BS$5:$BS$28,0),MATCH($C13,SourceData!$BT$3:$CF$3,0))</f>
        <v>821</v>
      </c>
      <c r="U13" s="84">
        <f ca="1">OFFSET(SourceData!$BS$4,MATCH(U9,SourceData!$BS$5:$BS$28,0),MATCH($C13,SourceData!$BT$3:$CF$3,0))</f>
        <v>847</v>
      </c>
      <c r="V13" s="84">
        <f ca="1">OFFSET(SourceData!$BS$4,MATCH(V9,SourceData!$BS$5:$BS$28,0),MATCH($C13,SourceData!$BT$3:$CF$3,0))</f>
        <v>879</v>
      </c>
      <c r="W13" s="84">
        <f ca="1">OFFSET(SourceData!$BS$4,MATCH(W9,SourceData!$BS$5:$BS$28,0),MATCH($C13,SourceData!$BT$3:$CF$3,0))</f>
        <v>912</v>
      </c>
      <c r="X13" s="84">
        <f ca="1">OFFSET(SourceData!$BS$4,MATCH(X9,SourceData!$BS$5:$BS$28,0),MATCH($C13,SourceData!$BT$3:$CF$3,0))</f>
        <v>945</v>
      </c>
      <c r="Y13" s="84">
        <f ca="1">OFFSET(SourceData!$BS$4,MATCH(Y9,SourceData!$BS$5:$BS$28,0),MATCH($C13,SourceData!$BT$3:$CF$3,0))</f>
        <v>980</v>
      </c>
      <c r="Z13" s="84">
        <f ca="1">OFFSET(SourceData!$BS$4,MATCH(Z9,SourceData!$BS$5:$BS$28,0),MATCH($C13,SourceData!$BT$3:$CF$3,0))</f>
        <v>1017</v>
      </c>
      <c r="AA13" s="84">
        <f ca="1">OFFSET(SourceData!$BS$4,MATCH(AA9,SourceData!$BS$5:$BS$28,0),MATCH($C13,SourceData!$BT$3:$CF$3,0))</f>
        <v>1054.7235967412528</v>
      </c>
      <c r="AB13" s="84">
        <f ca="1">OFFSET(SourceData!$BS$4,MATCH(AB9,SourceData!$BS$5:$BS$28,0),MATCH($C13,SourceData!$BT$3:$CF$3,0))</f>
        <v>1093.7878092003671</v>
      </c>
      <c r="AC13" s="84">
        <f ca="1">OFFSET(SourceData!$BS$4,MATCH(AC9,SourceData!$BS$5:$BS$28,0),MATCH($C13,SourceData!$BT$3:$CF$3,0))</f>
        <v>1134.2380191677348</v>
      </c>
      <c r="AD13" s="84">
        <f ca="1">OFFSET(SourceData!$BS$4,MATCH(AD9,SourceData!$BS$5:$BS$28,0),MATCH($C13,SourceData!$BT$3:$CF$3,0))</f>
        <v>1176.1210605037484</v>
      </c>
      <c r="AE13" s="84">
        <f ca="1">OFFSET(SourceData!$BS$4,MATCH(AE9,SourceData!$BS$5:$BS$28,0),MATCH($C13,SourceData!$BT$3:$CF$3,0))</f>
        <v>1218.8313040604082</v>
      </c>
      <c r="AF13" s="84">
        <f ca="1">OFFSET(SourceData!$BS$4,MATCH(AF9,SourceData!$BS$5:$BS$28,0),MATCH($C13,SourceData!$BT$3:$CF$3,0))</f>
        <v>1263.7702552802766</v>
      </c>
      <c r="AG13" s="84">
        <f ca="1">OFFSET(SourceData!$BS$4,MATCH(AG9,SourceData!$BS$5:$BS$28,0),MATCH($C13,SourceData!$BT$3:$CF$3,0))</f>
        <v>1750.6079406297472</v>
      </c>
      <c r="AH13" s="84">
        <f ca="1">OFFSET(SourceData!$BS$4,MATCH(AH9,SourceData!$BS$5:$BS$28,0),MATCH($C13,SourceData!$BT$3:$CF$3,0))</f>
        <v>2514.3989587291026</v>
      </c>
      <c r="BP13" s="84">
        <f ca="1">SUM(BP10:BP12)</f>
        <v>219</v>
      </c>
      <c r="BQ13" s="84">
        <f t="shared" ref="BQ13" ca="1" si="322">SUM(BQ10:BQ12)</f>
        <v>239</v>
      </c>
      <c r="BR13" s="84">
        <f t="shared" ref="BR13" ca="1" si="323">SUM(BR10:BR12)</f>
        <v>337</v>
      </c>
      <c r="BS13" s="84">
        <f t="shared" ref="BS13" ca="1" si="324">SUM(BS10:BS12)</f>
        <v>414</v>
      </c>
      <c r="BT13" s="84">
        <f t="shared" ref="BT13" ca="1" si="325">SUM(BT10:BT12)</f>
        <v>495.99999999999994</v>
      </c>
      <c r="BU13" s="84">
        <f t="shared" ref="BU13" ca="1" si="326">SUM(BU10:BU12)</f>
        <v>586</v>
      </c>
      <c r="BV13" s="84">
        <f t="shared" ref="BV13" ca="1" si="327">SUM(BV10:BV12)</f>
        <v>747</v>
      </c>
      <c r="BW13" s="84">
        <f t="shared" ref="BW13" ca="1" si="328">SUM(BW10:BW12)</f>
        <v>771</v>
      </c>
      <c r="BX13" s="84">
        <f t="shared" ref="BX13" ca="1" si="329">SUM(BX10:BX12)</f>
        <v>796</v>
      </c>
      <c r="BY13" s="84">
        <f t="shared" ref="BY13" ca="1" si="330">SUM(BY10:BY12)</f>
        <v>820.99999999999989</v>
      </c>
      <c r="BZ13" s="84">
        <f t="shared" ref="BZ13" ca="1" si="331">SUM(BZ10:BZ12)</f>
        <v>847</v>
      </c>
      <c r="CA13" s="84">
        <f t="shared" ref="CA13" ca="1" si="332">SUM(CA10:CA12)</f>
        <v>879</v>
      </c>
      <c r="CB13" s="84">
        <f t="shared" ref="CB13" ca="1" si="333">SUM(CB10:CB12)</f>
        <v>912</v>
      </c>
      <c r="CC13" s="84">
        <f t="shared" ref="CC13" ca="1" si="334">SUM(CC10:CC12)</f>
        <v>944.99999999999989</v>
      </c>
      <c r="CD13" s="84">
        <f t="shared" ref="CD13" ca="1" si="335">SUM(CD10:CD12)</f>
        <v>980</v>
      </c>
      <c r="CE13" s="84">
        <f t="shared" ref="CE13" ca="1" si="336">SUM(CE10:CE12)</f>
        <v>1016.9999999999999</v>
      </c>
      <c r="CF13" s="84">
        <f t="shared" ref="CF13" ca="1" si="337">SUM(CF10:CF12)</f>
        <v>1054.7235967412525</v>
      </c>
      <c r="CG13" s="84">
        <f t="shared" ref="CG13" ca="1" si="338">SUM(CG10:CG12)</f>
        <v>1093.7878092003671</v>
      </c>
      <c r="CH13" s="84">
        <f t="shared" ref="CH13" ca="1" si="339">SUM(CH10:CH12)</f>
        <v>1134.2380191677348</v>
      </c>
      <c r="CI13" s="84">
        <f t="shared" ref="CI13" ca="1" si="340">SUM(CI10:CI12)</f>
        <v>1176.1210605037484</v>
      </c>
      <c r="CJ13" s="84">
        <f t="shared" ref="CJ13" ca="1" si="341">SUM(CJ10:CJ12)</f>
        <v>1218.8313040604085</v>
      </c>
      <c r="CK13" s="84">
        <f t="shared" ref="CK13" ca="1" si="342">SUM(CK10:CK12)</f>
        <v>1263.7702552802766</v>
      </c>
      <c r="CL13" s="84">
        <f t="shared" ref="CL13" ca="1" si="343">SUM(CL10:CL12)</f>
        <v>1750.6079406297472</v>
      </c>
      <c r="CM13" s="84">
        <f t="shared" ref="CM13" ca="1" si="344">SUM(CM10:CM12)</f>
        <v>2514.3989587291026</v>
      </c>
    </row>
    <row r="14" spans="1:141" x14ac:dyDescent="0.25">
      <c r="A14" t="str">
        <f t="shared" si="20"/>
        <v>GBI</v>
      </c>
      <c r="C14" t="str">
        <f>IFERROR(VLOOKUP(D14,'For model'!$B$4:$C$16,2,FALSE),C13)</f>
        <v>GBI</v>
      </c>
      <c r="D14" s="92" t="s">
        <v>74</v>
      </c>
      <c r="E14">
        <v>2010</v>
      </c>
      <c r="F14">
        <v>2015</v>
      </c>
      <c r="G14">
        <v>2020</v>
      </c>
      <c r="H14">
        <v>2030</v>
      </c>
      <c r="I14">
        <f>I9</f>
        <v>2050</v>
      </c>
      <c r="K14">
        <v>2010</v>
      </c>
      <c r="L14">
        <f>K14+1</f>
        <v>2011</v>
      </c>
      <c r="M14">
        <f t="shared" ref="M14:U14" si="345">L14+1</f>
        <v>2012</v>
      </c>
      <c r="N14">
        <f t="shared" si="345"/>
        <v>2013</v>
      </c>
      <c r="O14">
        <f t="shared" si="345"/>
        <v>2014</v>
      </c>
      <c r="P14">
        <f t="shared" si="345"/>
        <v>2015</v>
      </c>
      <c r="Q14">
        <f t="shared" si="345"/>
        <v>2016</v>
      </c>
      <c r="R14">
        <f t="shared" si="345"/>
        <v>2017</v>
      </c>
      <c r="S14">
        <f t="shared" si="345"/>
        <v>2018</v>
      </c>
      <c r="T14">
        <f t="shared" si="345"/>
        <v>2019</v>
      </c>
      <c r="U14">
        <f t="shared" si="345"/>
        <v>2020</v>
      </c>
      <c r="V14">
        <f t="shared" ref="V14:AF14" si="346">U14+1</f>
        <v>2021</v>
      </c>
      <c r="W14">
        <f t="shared" si="346"/>
        <v>2022</v>
      </c>
      <c r="X14">
        <f t="shared" si="346"/>
        <v>2023</v>
      </c>
      <c r="Y14">
        <f t="shared" si="346"/>
        <v>2024</v>
      </c>
      <c r="Z14">
        <f t="shared" si="346"/>
        <v>2025</v>
      </c>
      <c r="AA14">
        <f t="shared" si="346"/>
        <v>2026</v>
      </c>
      <c r="AB14">
        <f t="shared" si="346"/>
        <v>2027</v>
      </c>
      <c r="AC14">
        <f t="shared" si="346"/>
        <v>2028</v>
      </c>
      <c r="AD14">
        <f t="shared" si="346"/>
        <v>2029</v>
      </c>
      <c r="AE14">
        <f t="shared" si="346"/>
        <v>2030</v>
      </c>
      <c r="AF14">
        <f t="shared" si="346"/>
        <v>2031</v>
      </c>
      <c r="AG14">
        <v>2040</v>
      </c>
      <c r="AH14">
        <v>2050</v>
      </c>
      <c r="AL14">
        <f>E14</f>
        <v>2010</v>
      </c>
      <c r="AM14">
        <f>G14</f>
        <v>2020</v>
      </c>
      <c r="AN14">
        <f>H14</f>
        <v>2030</v>
      </c>
      <c r="AO14">
        <f>I14</f>
        <v>2050</v>
      </c>
      <c r="AQ14">
        <v>2010</v>
      </c>
      <c r="AR14">
        <f>AQ14+1</f>
        <v>2011</v>
      </c>
      <c r="AS14">
        <f t="shared" ref="AS14:BL14" si="347">AR14+1</f>
        <v>2012</v>
      </c>
      <c r="AT14">
        <f t="shared" si="347"/>
        <v>2013</v>
      </c>
      <c r="AU14">
        <f t="shared" si="347"/>
        <v>2014</v>
      </c>
      <c r="AV14">
        <f t="shared" si="347"/>
        <v>2015</v>
      </c>
      <c r="AW14">
        <f t="shared" si="347"/>
        <v>2016</v>
      </c>
      <c r="AX14">
        <f t="shared" si="347"/>
        <v>2017</v>
      </c>
      <c r="AY14">
        <f t="shared" si="347"/>
        <v>2018</v>
      </c>
      <c r="AZ14">
        <f t="shared" si="347"/>
        <v>2019</v>
      </c>
      <c r="BA14">
        <f t="shared" si="347"/>
        <v>2020</v>
      </c>
      <c r="BB14">
        <f t="shared" si="347"/>
        <v>2021</v>
      </c>
      <c r="BC14">
        <f t="shared" si="347"/>
        <v>2022</v>
      </c>
      <c r="BD14">
        <f t="shared" si="347"/>
        <v>2023</v>
      </c>
      <c r="BE14">
        <f t="shared" si="347"/>
        <v>2024</v>
      </c>
      <c r="BF14">
        <f t="shared" si="347"/>
        <v>2025</v>
      </c>
      <c r="BG14">
        <f t="shared" si="347"/>
        <v>2026</v>
      </c>
      <c r="BH14">
        <f t="shared" si="347"/>
        <v>2027</v>
      </c>
      <c r="BI14">
        <f t="shared" si="347"/>
        <v>2028</v>
      </c>
      <c r="BJ14">
        <f t="shared" si="347"/>
        <v>2029</v>
      </c>
      <c r="BK14">
        <f t="shared" si="347"/>
        <v>2030</v>
      </c>
      <c r="BL14">
        <f t="shared" si="347"/>
        <v>2031</v>
      </c>
      <c r="BM14">
        <v>2040</v>
      </c>
      <c r="BN14">
        <v>2050</v>
      </c>
      <c r="BP14">
        <f>AQ14</f>
        <v>2010</v>
      </c>
      <c r="BQ14">
        <f t="shared" ref="BQ14:CM14" si="348">AR14</f>
        <v>2011</v>
      </c>
      <c r="BR14">
        <f t="shared" si="348"/>
        <v>2012</v>
      </c>
      <c r="BS14">
        <f t="shared" si="348"/>
        <v>2013</v>
      </c>
      <c r="BT14">
        <f t="shared" si="348"/>
        <v>2014</v>
      </c>
      <c r="BU14">
        <f t="shared" si="348"/>
        <v>2015</v>
      </c>
      <c r="BV14">
        <f t="shared" si="348"/>
        <v>2016</v>
      </c>
      <c r="BW14">
        <f t="shared" si="348"/>
        <v>2017</v>
      </c>
      <c r="BX14">
        <f t="shared" si="348"/>
        <v>2018</v>
      </c>
      <c r="BY14">
        <f t="shared" si="348"/>
        <v>2019</v>
      </c>
      <c r="BZ14">
        <f t="shared" si="348"/>
        <v>2020</v>
      </c>
      <c r="CA14">
        <f t="shared" si="348"/>
        <v>2021</v>
      </c>
      <c r="CB14">
        <f t="shared" si="348"/>
        <v>2022</v>
      </c>
      <c r="CC14">
        <f t="shared" si="348"/>
        <v>2023</v>
      </c>
      <c r="CD14">
        <f t="shared" si="348"/>
        <v>2024</v>
      </c>
      <c r="CE14">
        <f t="shared" si="348"/>
        <v>2025</v>
      </c>
      <c r="CF14">
        <f t="shared" si="348"/>
        <v>2026</v>
      </c>
      <c r="CG14">
        <f t="shared" si="348"/>
        <v>2027</v>
      </c>
      <c r="CH14">
        <f t="shared" si="348"/>
        <v>2028</v>
      </c>
      <c r="CI14">
        <f t="shared" si="348"/>
        <v>2029</v>
      </c>
      <c r="CJ14">
        <f t="shared" si="348"/>
        <v>2030</v>
      </c>
      <c r="CK14">
        <f t="shared" si="348"/>
        <v>2031</v>
      </c>
      <c r="CL14">
        <f t="shared" si="348"/>
        <v>2040</v>
      </c>
      <c r="CM14">
        <f t="shared" si="348"/>
        <v>2050</v>
      </c>
      <c r="CO14">
        <f>BP14</f>
        <v>2010</v>
      </c>
      <c r="CP14">
        <f t="shared" ref="CP14" si="349">BQ14</f>
        <v>2011</v>
      </c>
      <c r="CQ14">
        <f t="shared" ref="CQ14" si="350">BR14</f>
        <v>2012</v>
      </c>
      <c r="CR14">
        <f t="shared" ref="CR14" si="351">BS14</f>
        <v>2013</v>
      </c>
      <c r="CS14">
        <f t="shared" ref="CS14" si="352">BT14</f>
        <v>2014</v>
      </c>
      <c r="CT14">
        <f t="shared" ref="CT14" si="353">BU14</f>
        <v>2015</v>
      </c>
      <c r="CU14">
        <f t="shared" ref="CU14" si="354">BV14</f>
        <v>2016</v>
      </c>
      <c r="CV14">
        <f t="shared" ref="CV14" si="355">BW14</f>
        <v>2017</v>
      </c>
      <c r="CW14">
        <f t="shared" ref="CW14" si="356">BX14</f>
        <v>2018</v>
      </c>
      <c r="CX14">
        <f t="shared" ref="CX14" si="357">BY14</f>
        <v>2019</v>
      </c>
      <c r="CY14">
        <f t="shared" ref="CY14" si="358">BZ14</f>
        <v>2020</v>
      </c>
      <c r="CZ14">
        <f t="shared" ref="CZ14" si="359">CA14</f>
        <v>2021</v>
      </c>
      <c r="DA14">
        <f t="shared" ref="DA14" si="360">CB14</f>
        <v>2022</v>
      </c>
      <c r="DB14">
        <f t="shared" ref="DB14" si="361">CC14</f>
        <v>2023</v>
      </c>
      <c r="DC14">
        <f t="shared" ref="DC14" si="362">CD14</f>
        <v>2024</v>
      </c>
      <c r="DD14">
        <f t="shared" ref="DD14" si="363">CE14</f>
        <v>2025</v>
      </c>
      <c r="DE14">
        <f>CF14</f>
        <v>2026</v>
      </c>
      <c r="DF14">
        <f t="shared" ref="DF14" si="364">CG14</f>
        <v>2027</v>
      </c>
      <c r="DG14">
        <f t="shared" ref="DG14" si="365">CH14</f>
        <v>2028</v>
      </c>
      <c r="DH14">
        <f>CI14</f>
        <v>2029</v>
      </c>
      <c r="DI14">
        <f t="shared" ref="DI14" si="366">CJ14</f>
        <v>2030</v>
      </c>
      <c r="DJ14">
        <f>CK14</f>
        <v>2031</v>
      </c>
      <c r="DK14">
        <f>CL14</f>
        <v>2040</v>
      </c>
      <c r="DL14">
        <f t="shared" ref="DL14" si="367">CM14</f>
        <v>2050</v>
      </c>
    </row>
    <row r="15" spans="1:141" x14ac:dyDescent="0.25">
      <c r="A15" t="str">
        <f t="shared" si="20"/>
        <v>Heavy IndustryGBI</v>
      </c>
      <c r="B15" t="str">
        <f t="shared" ref="B15:B17" si="368">B10</f>
        <v>Heavy Industry</v>
      </c>
      <c r="C15" t="str">
        <f>IFERROR(VLOOKUP(D15,'For model'!$B$4:$C$16,2,FALSE),C14)</f>
        <v>GBI</v>
      </c>
      <c r="D15" t="s">
        <v>533</v>
      </c>
      <c r="E15" s="72">
        <v>0</v>
      </c>
      <c r="F15" s="72">
        <f>G15/2</f>
        <v>0.31666666666666665</v>
      </c>
      <c r="G15" s="72">
        <f>95%*2/3</f>
        <v>0.6333333333333333</v>
      </c>
      <c r="H15" s="72">
        <v>0.3</v>
      </c>
      <c r="I15" s="72">
        <v>0.3</v>
      </c>
      <c r="K15" s="72">
        <f>E15</f>
        <v>0</v>
      </c>
      <c r="L15" s="72">
        <f>($P15-$K15)/($P$4-$K$4)+K15</f>
        <v>6.3333333333333325E-2</v>
      </c>
      <c r="M15" s="72">
        <f t="shared" ref="M15:O15" si="369">($P15-$K15)/($P$4-$K$4)+L15</f>
        <v>0.12666666666666665</v>
      </c>
      <c r="N15" s="72">
        <f t="shared" si="369"/>
        <v>0.18999999999999997</v>
      </c>
      <c r="O15" s="72">
        <f t="shared" si="369"/>
        <v>0.2533333333333333</v>
      </c>
      <c r="P15" s="72">
        <f>F15</f>
        <v>0.31666666666666665</v>
      </c>
      <c r="Q15" s="72">
        <f>($U15-$P15)/($U$4-$P$4)+P15</f>
        <v>0.38</v>
      </c>
      <c r="R15" s="72">
        <f t="shared" ref="R15:T15" si="370">($U15-$P15)/($U$4-$P$4)+Q15</f>
        <v>0.44333333333333336</v>
      </c>
      <c r="S15" s="72">
        <f t="shared" si="370"/>
        <v>0.50666666666666671</v>
      </c>
      <c r="T15" s="72">
        <f t="shared" si="370"/>
        <v>0.57000000000000006</v>
      </c>
      <c r="U15" s="72">
        <f>G15</f>
        <v>0.6333333333333333</v>
      </c>
      <c r="V15" s="72">
        <f>(AE15-U15)/(AE$4-U$4)+U15</f>
        <v>0.6</v>
      </c>
      <c r="W15" s="72">
        <f>(AE15-U15)/(AE$4-U$4)+V15</f>
        <v>0.56666666666666665</v>
      </c>
      <c r="X15" s="72">
        <f>(AE15-U15)/(AE$4-U$4)+W15</f>
        <v>0.53333333333333333</v>
      </c>
      <c r="Y15" s="72">
        <f>(AE15-U15)/(AE$4-U$4)+X15</f>
        <v>0.5</v>
      </c>
      <c r="Z15" s="72">
        <f>(AE15-U15)/(AE$4-U$4)+Y15</f>
        <v>0.46666666666666667</v>
      </c>
      <c r="AA15" s="72">
        <f>(AE15-U15)/(AE$4-U$4)+Z15</f>
        <v>0.43333333333333335</v>
      </c>
      <c r="AB15" s="72">
        <f>(AE15-U15)/(AE$4-U$4)+AA15</f>
        <v>0.4</v>
      </c>
      <c r="AC15" s="72">
        <f>(AE15-U15)/(AE$4-U$4)+AB15</f>
        <v>0.3666666666666667</v>
      </c>
      <c r="AD15" s="72">
        <f>(AE15-U15)/(AE$4-U$4)+AC15</f>
        <v>0.33333333333333337</v>
      </c>
      <c r="AE15" s="72">
        <f>H15</f>
        <v>0.3</v>
      </c>
      <c r="AF15" s="72">
        <f>(AH15-AE15)/(AH$4-AE$4)+AE15</f>
        <v>0.3</v>
      </c>
      <c r="AG15" s="72">
        <f>(AE15+AH15)/2</f>
        <v>0.3</v>
      </c>
      <c r="AH15" s="72">
        <f>I15</f>
        <v>0.3</v>
      </c>
      <c r="AJ15" s="115">
        <f ca="1">SUMIF(SourceData!$Y$3:$AK$3,$C14,SourceData!$Y$1:$AK$1)</f>
        <v>0.34</v>
      </c>
      <c r="AK15" s="72">
        <v>0.05</v>
      </c>
      <c r="AL15" s="94">
        <v>0.02</v>
      </c>
      <c r="AM15" s="72">
        <f>AL15</f>
        <v>0.02</v>
      </c>
      <c r="AN15" s="72">
        <v>0</v>
      </c>
      <c r="AO15" s="72">
        <v>0</v>
      </c>
      <c r="AP15" s="118" t="str">
        <f>AQ15&amp;" "&amp;AR15&amp;" "&amp;AS15&amp;" "&amp;AT15&amp;" "&amp;AU15&amp;" "&amp;AV15&amp;" "&amp;AW15&amp;" "&amp;AX15&amp;" "&amp;AY15&amp;" "&amp;AZ15&amp;" "&amp;BA15&amp;" "&amp;BB15&amp;" "&amp;BC15&amp;" "&amp;BD15&amp;" "&amp;BE15&amp;" "&amp;BF15&amp;" "&amp;BG15&amp;" "&amp;BH15&amp;" "&amp;BI15&amp;" "&amp;BJ15&amp;" "&amp;BK15&amp;" "&amp;BL15&amp;" "&amp;BM15&amp;" "&amp;BN15&amp;" "</f>
        <v xml:space="preserve">0.02 0.02 0.02 0.02 0.02 0.02 0.02 0.02 0.02 0.02 0.02 0.018 0.016 0.014 0.012 0.01 0.008 0.006 0.004 0.002 0 0 0 0 </v>
      </c>
      <c r="AQ15" s="72">
        <f>AL15</f>
        <v>0.02</v>
      </c>
      <c r="AR15" s="72">
        <f>(BA15-AQ15)/(BA$4-AQ$4)+AQ15</f>
        <v>0.02</v>
      </c>
      <c r="AS15" s="72">
        <f>(BA15-AQ15)/(BA$4-AQ$4)+AR15</f>
        <v>0.02</v>
      </c>
      <c r="AT15" s="72">
        <f>(BA15-AQ15)/(BA$4-AQ$4)+AS15</f>
        <v>0.02</v>
      </c>
      <c r="AU15" s="72">
        <f>(BA15-AQ15)/(BA$4-AQ$4)+AT15</f>
        <v>0.02</v>
      </c>
      <c r="AV15" s="72">
        <f>(BA15-AQ15)/(BA$4-AQ$4)+AU15</f>
        <v>0.02</v>
      </c>
      <c r="AW15" s="72">
        <f>(BA15-AQ15)/(BA$4-AQ$4)+AV15</f>
        <v>0.02</v>
      </c>
      <c r="AX15" s="72">
        <f>(BA15-AQ15)/(BA$4-AQ$4)+AW15</f>
        <v>0.02</v>
      </c>
      <c r="AY15" s="72">
        <f>(BA15-AQ15)/(BA$4-AQ$4)+AX15</f>
        <v>0.02</v>
      </c>
      <c r="AZ15" s="72">
        <f>(BA15-AQ15)/(BA$4-AQ$4)+AY15</f>
        <v>0.02</v>
      </c>
      <c r="BA15" s="72">
        <f>AM15</f>
        <v>0.02</v>
      </c>
      <c r="BB15" s="72">
        <f>(BK15-BA15)/(BK$4-BA$4)+BA15</f>
        <v>1.8000000000000002E-2</v>
      </c>
      <c r="BC15" s="72">
        <f>(BK15-BA15)/(BK$4-BA$4)+BB15</f>
        <v>1.6E-2</v>
      </c>
      <c r="BD15" s="72">
        <f>(BK15-BA15)/(BK$4-BA$4)+BC15</f>
        <v>1.4E-2</v>
      </c>
      <c r="BE15" s="72">
        <f>(BK15-BA15)/(BK$4-BA$4)+BD15</f>
        <v>1.2E-2</v>
      </c>
      <c r="BF15" s="72">
        <f>(BK15-BA15)/(BK$4-BA$4)+BE15</f>
        <v>0.01</v>
      </c>
      <c r="BG15" s="72">
        <f>(BK15-BA15)/(BK$4-BA$4)+BF15</f>
        <v>8.0000000000000002E-3</v>
      </c>
      <c r="BH15" s="72">
        <f>(BK15-BA15)/(BK$4-BA$4)+BG15</f>
        <v>6.0000000000000001E-3</v>
      </c>
      <c r="BI15" s="72">
        <f>(BK15-BA15)/(BK$4-BA$4)+BH15</f>
        <v>4.0000000000000001E-3</v>
      </c>
      <c r="BJ15" s="72">
        <f>(BK15-BA15)/(BK$4-BA$4)+BI15</f>
        <v>2E-3</v>
      </c>
      <c r="BK15" s="72">
        <f>AN15</f>
        <v>0</v>
      </c>
      <c r="BL15" s="72">
        <f>(BN15-BK15)/(BN$4-BK$4)+BK15</f>
        <v>0</v>
      </c>
      <c r="BM15" s="72">
        <f>(BK15+BN15)/2</f>
        <v>0</v>
      </c>
      <c r="BN15" s="72">
        <f>AO15</f>
        <v>0</v>
      </c>
      <c r="BO15">
        <f>SUMIF(SourceData!$BD$3:$BP$3,$C14,SourceData!$BD$1:$BP$1)</f>
        <v>1</v>
      </c>
      <c r="BP15" s="84">
        <f ca="1">IF($BO15,OFFSET(SourceData!$BC$4,MATCH(BP14,SourceData!$BC$5:$BC$28,0),MATCH($C18,SourceData!$BD$3:$BP$3,0)),K15*K18)</f>
        <v>0</v>
      </c>
      <c r="BQ15" s="84">
        <f ca="1">IF($BO15,OFFSET(SourceData!$BC$4,MATCH(BQ14,SourceData!$BC$5:$BC$28,0),MATCH($C18,SourceData!$BD$3:$BP$3,0)),L15*L18)</f>
        <v>0</v>
      </c>
      <c r="BR15" s="84">
        <f ca="1">IF($BO15,OFFSET(SourceData!$BC$4,MATCH(BR14,SourceData!$BC$5:$BC$28,0),MATCH($C18,SourceData!$BD$3:$BP$3,0)),M15*M18)</f>
        <v>0</v>
      </c>
      <c r="BS15" s="84">
        <f ca="1">IF($BO15,OFFSET(SourceData!$BC$4,MATCH(BS14,SourceData!$BC$5:$BC$28,0),MATCH($C18,SourceData!$BD$3:$BP$3,0)),N15*N18)</f>
        <v>0</v>
      </c>
      <c r="BT15" s="84">
        <f ca="1">IF($BO15,OFFSET(SourceData!$BC$4,MATCH(BT14,SourceData!$BC$5:$BC$28,0),MATCH($C18,SourceData!$BD$3:$BP$3,0)),O15*O18)</f>
        <v>0</v>
      </c>
      <c r="BU15" s="84">
        <f ca="1">IF($BO15,OFFSET(SourceData!$BC$4,MATCH(BU14,SourceData!$BC$5:$BC$28,0),MATCH($C18,SourceData!$BD$3:$BP$3,0)),P15*P18)</f>
        <v>0</v>
      </c>
      <c r="BV15" s="84">
        <f ca="1">IF($BO15,OFFSET(SourceData!$BC$4,MATCH(BV14,SourceData!$BC$5:$BC$28,0),MATCH($C18,SourceData!$BD$3:$BP$3,0)),Q15*Q18)</f>
        <v>351</v>
      </c>
      <c r="BW15" s="84">
        <f ca="1">IF($BO15,OFFSET(SourceData!$BC$4,MATCH(BW14,SourceData!$BC$5:$BC$28,0),MATCH($C18,SourceData!$BD$3:$BP$3,0)),R15*R18)</f>
        <v>351</v>
      </c>
      <c r="BX15" s="84">
        <f ca="1">IF($BO15,OFFSET(SourceData!$BC$4,MATCH(BX14,SourceData!$BC$5:$BC$28,0),MATCH($C18,SourceData!$BD$3:$BP$3,0)),S15*S18)</f>
        <v>351</v>
      </c>
      <c r="BY15" s="84">
        <f ca="1">IF($BO15,OFFSET(SourceData!$BC$4,MATCH(BY14,SourceData!$BC$5:$BC$28,0),MATCH($C18,SourceData!$BD$3:$BP$3,0)),T15*T18)</f>
        <v>351</v>
      </c>
      <c r="BZ15" s="84">
        <f ca="1">IF($BO15,OFFSET(SourceData!$BC$4,MATCH(BZ14,SourceData!$BC$5:$BC$28,0),MATCH($C18,SourceData!$BD$3:$BP$3,0)),U15*U18)</f>
        <v>701</v>
      </c>
      <c r="CA15" s="84">
        <f ca="1">IF($BO15,OFFSET(SourceData!$BC$4,MATCH(CA14,SourceData!$BC$5:$BC$28,0),MATCH($C18,SourceData!$BD$3:$BP$3,0)),V15*V18)</f>
        <v>701</v>
      </c>
      <c r="CB15" s="84">
        <f ca="1">IF($BO15,OFFSET(SourceData!$BC$4,MATCH(CB14,SourceData!$BC$5:$BC$28,0),MATCH($C18,SourceData!$BD$3:$BP$3,0)),W15*W18)</f>
        <v>701</v>
      </c>
      <c r="CC15" s="84">
        <f ca="1">IF($BO15,OFFSET(SourceData!$BC$4,MATCH(CC14,SourceData!$BC$5:$BC$28,0),MATCH($C18,SourceData!$BD$3:$BP$3,0)),X15*X18)</f>
        <v>701</v>
      </c>
      <c r="CD15" s="84">
        <f ca="1">IF($BO15,OFFSET(SourceData!$BC$4,MATCH(CD14,SourceData!$BC$5:$BC$28,0),MATCH($C18,SourceData!$BD$3:$BP$3,0)),Y15*Y18)</f>
        <v>701</v>
      </c>
      <c r="CE15" s="84">
        <f ca="1">IF($BO15,OFFSET(SourceData!$BC$4,MATCH(CE14,SourceData!$BC$5:$BC$28,0),MATCH($C18,SourceData!$BD$3:$BP$3,0)),Z15*Z18)</f>
        <v>701</v>
      </c>
      <c r="CF15" s="84">
        <f ca="1">IF($BO15,OFFSET(SourceData!$BC$4,MATCH(CF14,SourceData!$BC$5:$BC$28,0),MATCH($C18,SourceData!$BD$3:$BP$3,0)),AA15*AA18)</f>
        <v>701</v>
      </c>
      <c r="CG15" s="84">
        <f ca="1">IF($BO15,OFFSET(SourceData!$BC$4,MATCH(CG14,SourceData!$BC$5:$BC$28,0),MATCH($C18,SourceData!$BD$3:$BP$3,0)),AB15*AB18)</f>
        <v>701</v>
      </c>
      <c r="CH15" s="84">
        <f ca="1">IF($BO15,OFFSET(SourceData!$BC$4,MATCH(CH14,SourceData!$BC$5:$BC$28,0),MATCH($C18,SourceData!$BD$3:$BP$3,0)),AC15*AC18)</f>
        <v>701</v>
      </c>
      <c r="CI15" s="84">
        <f ca="1">IF($BO15,OFFSET(SourceData!$BC$4,MATCH(CI14,SourceData!$BC$5:$BC$28,0),MATCH($C18,SourceData!$BD$3:$BP$3,0)),AD15*AD18)</f>
        <v>701</v>
      </c>
      <c r="CJ15" s="84">
        <f ca="1">IF($BO15,OFFSET(SourceData!$BC$4,MATCH(CJ14,SourceData!$BC$5:$BC$28,0),MATCH($C18,SourceData!$BD$3:$BP$3,0)),AE15*AE18)</f>
        <v>701</v>
      </c>
      <c r="CK15" s="84">
        <f ca="1">IF($BO15,OFFSET(SourceData!$BC$4,MATCH(CK14,SourceData!$BC$5:$BC$28,0),MATCH($C18,SourceData!$BD$3:$BP$3,0)),AF15*AF18)</f>
        <v>701</v>
      </c>
      <c r="CL15" s="84">
        <f ca="1">IF($BO15,OFFSET(SourceData!$BC$4,MATCH(CL14,SourceData!$BC$5:$BC$28,0),MATCH($C18,SourceData!$BD$3:$BP$3,0)),AG15*AG18)</f>
        <v>701</v>
      </c>
      <c r="CM15" s="84">
        <f ca="1">IF($BO15,OFFSET(SourceData!$BC$4,MATCH(CM14,SourceData!$BC$5:$BC$28,0),MATCH($C18,SourceData!$BD$3:$BP$3,0)),AH15*AH18)</f>
        <v>701</v>
      </c>
      <c r="CN15" s="118" t="str">
        <f t="shared" ref="CN15:CN17" ca="1" si="371">CO15&amp;" "&amp;CP15&amp;" "&amp;CQ15&amp;" "&amp;CR15&amp;" "&amp;CS15&amp;" "&amp;CT15&amp;" "&amp;CU15&amp;" "&amp;CV15&amp;" "&amp;CW15&amp;" "&amp;CX15&amp;" "&amp;CY15&amp;" "&amp;CZ15&amp;" "&amp;DA15&amp;" "&amp;DB15&amp;" "&amp;DC15&amp;" "&amp;DD15&amp;" "&amp;DE15&amp;" "&amp;DF15&amp;" "&amp;DG15&amp;" "&amp;DH15&amp;" "&amp;DI15&amp;" "&amp;DJ15&amp;" "&amp;DK15&amp;" "&amp;DL15&amp;" "</f>
        <v xml:space="preserve">0 0 0 0 0 0 37.3 37.3 37.3 37.3 74.5 74.7 74.8 75 75.1 75.3 75.4 75.6 75.7 75.9 76 76 76 76 </v>
      </c>
      <c r="CO15" s="117">
        <f ca="1">ROUND(BP15*(1-AQ15)*(1-$AK15)/8.76,1)</f>
        <v>0</v>
      </c>
      <c r="CP15" s="117">
        <f t="shared" ref="CP15:CP17" ca="1" si="372">ROUND(BQ15*(1-AR15)*(1-$AK15)/8.76,1)</f>
        <v>0</v>
      </c>
      <c r="CQ15" s="117">
        <f t="shared" ref="CQ15:CQ17" ca="1" si="373">ROUND(BR15*(1-AS15)*(1-$AK15)/8.76,1)</f>
        <v>0</v>
      </c>
      <c r="CR15" s="117">
        <f t="shared" ref="CR15:CR17" ca="1" si="374">ROUND(BS15*(1-AT15)*(1-$AK15)/8.76,1)</f>
        <v>0</v>
      </c>
      <c r="CS15" s="117">
        <f t="shared" ref="CS15:CS17" ca="1" si="375">ROUND(BT15*(1-AU15)*(1-$AK15)/8.76,1)</f>
        <v>0</v>
      </c>
      <c r="CT15" s="117">
        <f t="shared" ref="CT15:CT17" ca="1" si="376">ROUND(BU15*(1-AV15)*(1-$AK15)/8.76,1)</f>
        <v>0</v>
      </c>
      <c r="CU15" s="117">
        <f t="shared" ref="CU15:CU17" ca="1" si="377">ROUND(BV15*(1-AW15)*(1-$AK15)/8.76,1)</f>
        <v>37.299999999999997</v>
      </c>
      <c r="CV15" s="117">
        <f t="shared" ref="CV15:CV17" ca="1" si="378">ROUND(BW15*(1-AX15)*(1-$AK15)/8.76,1)</f>
        <v>37.299999999999997</v>
      </c>
      <c r="CW15" s="117">
        <f t="shared" ref="CW15:CW17" ca="1" si="379">ROUND(BX15*(1-AY15)*(1-$AK15)/8.76,1)</f>
        <v>37.299999999999997</v>
      </c>
      <c r="CX15" s="117">
        <f t="shared" ref="CX15:CX17" ca="1" si="380">ROUND(BY15*(1-AZ15)*(1-$AK15)/8.76,1)</f>
        <v>37.299999999999997</v>
      </c>
      <c r="CY15" s="117">
        <f t="shared" ref="CY15:CY17" ca="1" si="381">ROUND(BZ15*(1-BA15)*(1-$AK15)/8.76,1)</f>
        <v>74.5</v>
      </c>
      <c r="CZ15" s="117">
        <f t="shared" ref="CZ15:CZ17" ca="1" si="382">ROUND(CA15*(1-BB15)*(1-$AK15)/8.76,1)</f>
        <v>74.7</v>
      </c>
      <c r="DA15" s="117">
        <f t="shared" ref="DA15:DA17" ca="1" si="383">ROUND(CB15*(1-BC15)*(1-$AK15)/8.76,1)</f>
        <v>74.8</v>
      </c>
      <c r="DB15" s="117">
        <f t="shared" ref="DB15:DB17" ca="1" si="384">ROUND(CC15*(1-BD15)*(1-$AK15)/8.76,1)</f>
        <v>75</v>
      </c>
      <c r="DC15" s="117">
        <f t="shared" ref="DC15:DC17" ca="1" si="385">ROUND(CD15*(1-BE15)*(1-$AK15)/8.76,1)</f>
        <v>75.099999999999994</v>
      </c>
      <c r="DD15" s="117">
        <f t="shared" ref="DD15:DD17" ca="1" si="386">ROUND(CE15*(1-BF15)*(1-$AK15)/8.76,1)</f>
        <v>75.3</v>
      </c>
      <c r="DE15" s="117">
        <f ca="1">ROUND(CF15*(1-BG15)*(1-$AK15)/8.76,1)</f>
        <v>75.400000000000006</v>
      </c>
      <c r="DF15" s="117">
        <f t="shared" ref="DF15:DF17" ca="1" si="387">ROUND(CG15*(1-BH15)*(1-$AK15)/8.76,1)</f>
        <v>75.599999999999994</v>
      </c>
      <c r="DG15" s="117">
        <f t="shared" ref="DG15:DG17" ca="1" si="388">ROUND(CH15*(1-BI15)*(1-$AK15)/8.76,1)</f>
        <v>75.7</v>
      </c>
      <c r="DH15" s="117">
        <f ca="1">ROUND(CI15*(1-BJ15)*(1-$AK15)/8.76,1)</f>
        <v>75.900000000000006</v>
      </c>
      <c r="DI15" s="117">
        <f t="shared" ref="DI15:DI17" ca="1" si="389">ROUND(CJ15*(1-BK15)*(1-$AK15)/8.76,1)</f>
        <v>76</v>
      </c>
      <c r="DJ15" s="117">
        <f ca="1">ROUND(CK15*(1-BL15)*(1-$AK15)/8.76,1)</f>
        <v>76</v>
      </c>
      <c r="DK15" s="117">
        <f ca="1">ROUND(CL15*(1-BM15)*(1-$AK15)/8.76,1)</f>
        <v>76</v>
      </c>
      <c r="DL15" s="117">
        <f t="shared" ref="DL15:DL17" ca="1" si="390">ROUND(CM15*(1-BN15)*(1-$AK15)/8.76,1)</f>
        <v>76</v>
      </c>
      <c r="DM15" s="118" t="str">
        <f t="shared" ref="DM15:DM17" si="391">DN15&amp;" "&amp;DO15&amp;" "&amp;DP15&amp;" "&amp;DQ15&amp;" "&amp;DR15&amp;" "&amp;DS15&amp;" "&amp;DT15&amp;" "&amp;DU15&amp;" "&amp;DV15&amp;" "&amp;DW15&amp;" "&amp;DX15&amp;" "&amp;DY15&amp;" "&amp;DZ15&amp;" "&amp;EA15&amp;" "&amp;EB15&amp;" "&amp;EC15&amp;" "&amp;ED15&amp;" "&amp;EE15&amp;" "&amp;EF15&amp;" "&amp;EG15&amp;" "&amp;EH15&amp;" "&amp;EI15&amp;" "&amp;EJ15&amp;" "&amp;EK15&amp;" "</f>
        <v xml:space="preserve">0.98 0.98 0.98 0.98 0.98 0.98 0.98 0.98 0.98 0.98 0.98 0.982 0.984 0.986 0.988 0.99 0.992 0.994 0.996 0.998 1 1 1 1 </v>
      </c>
      <c r="DN15" s="72">
        <f>1-AQ15</f>
        <v>0.98</v>
      </c>
      <c r="DO15" s="72">
        <f t="shared" ref="DO15:DO17" si="392">1-AR15</f>
        <v>0.98</v>
      </c>
      <c r="DP15" s="72">
        <f t="shared" ref="DP15:DP17" si="393">1-AS15</f>
        <v>0.98</v>
      </c>
      <c r="DQ15" s="72">
        <f t="shared" ref="DQ15:DQ17" si="394">1-AT15</f>
        <v>0.98</v>
      </c>
      <c r="DR15" s="72">
        <f t="shared" ref="DR15:DR17" si="395">1-AU15</f>
        <v>0.98</v>
      </c>
      <c r="DS15" s="72">
        <f t="shared" ref="DS15:DS17" si="396">1-AV15</f>
        <v>0.98</v>
      </c>
      <c r="DT15" s="72">
        <f t="shared" ref="DT15:DT17" si="397">1-AW15</f>
        <v>0.98</v>
      </c>
      <c r="DU15" s="72">
        <f t="shared" ref="DU15:DU17" si="398">1-AX15</f>
        <v>0.98</v>
      </c>
      <c r="DV15" s="72">
        <f t="shared" ref="DV15:DV17" si="399">1-AY15</f>
        <v>0.98</v>
      </c>
      <c r="DW15" s="72">
        <f t="shared" ref="DW15:DW17" si="400">1-AZ15</f>
        <v>0.98</v>
      </c>
      <c r="DX15" s="72">
        <f t="shared" ref="DX15:DX17" si="401">1-BA15</f>
        <v>0.98</v>
      </c>
      <c r="DY15" s="72">
        <f t="shared" ref="DY15:DY17" si="402">1-BB15</f>
        <v>0.98199999999999998</v>
      </c>
      <c r="DZ15" s="72">
        <f t="shared" ref="DZ15:DZ17" si="403">1-BC15</f>
        <v>0.98399999999999999</v>
      </c>
      <c r="EA15" s="72">
        <f t="shared" ref="EA15:EA17" si="404">1-BD15</f>
        <v>0.98599999999999999</v>
      </c>
      <c r="EB15" s="72">
        <f t="shared" ref="EB15:EB17" si="405">1-BE15</f>
        <v>0.98799999999999999</v>
      </c>
      <c r="EC15" s="72">
        <f t="shared" ref="EC15:EC17" si="406">1-BF15</f>
        <v>0.99</v>
      </c>
      <c r="ED15" s="72">
        <f t="shared" ref="ED15:ED17" si="407">1-BG15</f>
        <v>0.99199999999999999</v>
      </c>
      <c r="EE15" s="72">
        <f t="shared" ref="EE15:EE17" si="408">1-BH15</f>
        <v>0.99399999999999999</v>
      </c>
      <c r="EF15" s="72">
        <f t="shared" ref="EF15:EF17" si="409">1-BI15</f>
        <v>0.996</v>
      </c>
      <c r="EG15" s="72">
        <f t="shared" ref="EG15:EG17" si="410">1-BJ15</f>
        <v>0.998</v>
      </c>
      <c r="EH15" s="72">
        <f t="shared" ref="EH15:EH17" si="411">1-BK15</f>
        <v>1</v>
      </c>
      <c r="EI15" s="72">
        <f t="shared" ref="EI15:EI17" si="412">1-BL15</f>
        <v>1</v>
      </c>
      <c r="EJ15" s="72">
        <f t="shared" ref="EJ15:EJ17" si="413">1-BM15</f>
        <v>1</v>
      </c>
      <c r="EK15" s="72">
        <f t="shared" ref="EK15:EK17" si="414">1-BN15</f>
        <v>1</v>
      </c>
    </row>
    <row r="16" spans="1:141" x14ac:dyDescent="0.25">
      <c r="A16" t="str">
        <f t="shared" si="20"/>
        <v>UrbanGBI</v>
      </c>
      <c r="B16" t="str">
        <f t="shared" si="368"/>
        <v>Urban</v>
      </c>
      <c r="C16" t="str">
        <f>IFERROR(VLOOKUP(D16,'For model'!$B$4:$C$16,2,FALSE),C15)</f>
        <v>GBI</v>
      </c>
      <c r="D16" t="s">
        <v>536</v>
      </c>
      <c r="E16" s="72">
        <f>1-E15-E17</f>
        <v>0.98</v>
      </c>
      <c r="F16" s="72">
        <f>1-F15-F17</f>
        <v>0.65333333333333332</v>
      </c>
      <c r="G16" s="72">
        <f t="shared" ref="G16:H16" si="415">1-G15-G17</f>
        <v>0.31666666666666671</v>
      </c>
      <c r="H16" s="72">
        <f t="shared" si="415"/>
        <v>0.6</v>
      </c>
      <c r="I16" s="72">
        <f t="shared" ref="I16" si="416">1-I15-I17</f>
        <v>0.6</v>
      </c>
      <c r="K16" s="72">
        <f t="shared" ref="K16:K17" si="417">E16</f>
        <v>0.98</v>
      </c>
      <c r="L16" s="72">
        <f t="shared" ref="L16:O16" si="418">($P16-$K16)/($P$4-$K$4)+K16</f>
        <v>0.91466666666666663</v>
      </c>
      <c r="M16" s="72">
        <f t="shared" si="418"/>
        <v>0.84933333333333327</v>
      </c>
      <c r="N16" s="72">
        <f t="shared" si="418"/>
        <v>0.78399999999999992</v>
      </c>
      <c r="O16" s="72">
        <f t="shared" si="418"/>
        <v>0.71866666666666656</v>
      </c>
      <c r="P16" s="72">
        <f t="shared" ref="P16:P17" si="419">F16</f>
        <v>0.65333333333333332</v>
      </c>
      <c r="Q16" s="72">
        <f t="shared" ref="Q16:T16" si="420">($U16-$P16)/($U$4-$P$4)+P16</f>
        <v>0.58599999999999997</v>
      </c>
      <c r="R16" s="72">
        <f t="shared" si="420"/>
        <v>0.51866666666666661</v>
      </c>
      <c r="S16" s="72">
        <f t="shared" si="420"/>
        <v>0.45133333333333325</v>
      </c>
      <c r="T16" s="72">
        <f t="shared" si="420"/>
        <v>0.3839999999999999</v>
      </c>
      <c r="U16" s="72">
        <f t="shared" ref="U16:U17" si="421">G16</f>
        <v>0.31666666666666671</v>
      </c>
      <c r="V16" s="72">
        <f t="shared" ref="V16:V17" si="422">(AE16-U16)/(AE$4-U$4)+U16</f>
        <v>0.34500000000000003</v>
      </c>
      <c r="W16" s="72">
        <f t="shared" ref="W16:W17" si="423">(AE16-U16)/(AE$4-U$4)+V16</f>
        <v>0.37333333333333335</v>
      </c>
      <c r="X16" s="72">
        <f t="shared" ref="X16:X17" si="424">(AE16-U16)/(AE$4-U$4)+W16</f>
        <v>0.40166666666666667</v>
      </c>
      <c r="Y16" s="72">
        <f t="shared" ref="Y16:Y17" si="425">(AE16-U16)/(AE$4-U$4)+X16</f>
        <v>0.43</v>
      </c>
      <c r="Z16" s="72">
        <f t="shared" ref="Z16:Z17" si="426">(AE16-U16)/(AE$4-U$4)+Y16</f>
        <v>0.45833333333333331</v>
      </c>
      <c r="AA16" s="72">
        <f t="shared" ref="AA16:AA17" si="427">(AE16-U16)/(AE$4-U$4)+Z16</f>
        <v>0.48666666666666664</v>
      </c>
      <c r="AB16" s="72">
        <f t="shared" ref="AB16:AB17" si="428">(AE16-U16)/(AE$4-U$4)+AA16</f>
        <v>0.51500000000000001</v>
      </c>
      <c r="AC16" s="72">
        <f t="shared" ref="AC16:AC17" si="429">(AE16-U16)/(AE$4-U$4)+AB16</f>
        <v>0.54333333333333333</v>
      </c>
      <c r="AD16" s="72">
        <f t="shared" ref="AD16:AD17" si="430">(AE16-U16)/(AE$4-U$4)+AC16</f>
        <v>0.57166666666666666</v>
      </c>
      <c r="AE16" s="72">
        <f t="shared" ref="AE16:AE17" si="431">H16</f>
        <v>0.6</v>
      </c>
      <c r="AF16" s="72">
        <f>(AH16-AE16)/(AH$4-AE$4)+AE16</f>
        <v>0.6</v>
      </c>
      <c r="AG16" s="72">
        <f t="shared" ref="AG16:AG17" si="432">(AE16+AH16)/2</f>
        <v>0.6</v>
      </c>
      <c r="AH16" s="72">
        <f>I16</f>
        <v>0.6</v>
      </c>
      <c r="AJ16" s="72" t="s">
        <v>548</v>
      </c>
      <c r="AK16" s="72">
        <f>AK15</f>
        <v>0.05</v>
      </c>
      <c r="AL16" s="111">
        <v>0.25</v>
      </c>
      <c r="AM16" s="72">
        <v>0.1</v>
      </c>
      <c r="AN16" s="72">
        <v>0.08</v>
      </c>
      <c r="AO16" s="72">
        <f>AN16</f>
        <v>0.08</v>
      </c>
      <c r="AP16" s="118" t="str">
        <f>AQ16&amp;" "&amp;AR16&amp;" "&amp;AS16&amp;" "&amp;AT16&amp;" "&amp;AU16&amp;" "&amp;AV16&amp;" "&amp;AW16&amp;" "&amp;AX16&amp;" "&amp;AY16&amp;" "&amp;AZ16&amp;" "&amp;BA16&amp;" "&amp;BB16&amp;" "&amp;BC16&amp;" "&amp;BD16&amp;" "&amp;BE16&amp;" "&amp;BF16&amp;" "&amp;BG16&amp;" "&amp;BH16&amp;" "&amp;BI16&amp;" "&amp;BJ16&amp;" "&amp;BK16&amp;" "&amp;BL16&amp;" "&amp;BM16&amp;" "&amp;BN16&amp;" "</f>
        <v xml:space="preserve">0.25 0.235 0.22 0.205 0.19 0.175 0.16 0.145 0.13 0.115 0.1 0.098 0.096 0.094 0.092 0.09 0.088 0.086 0.084 0.082 0.08 0.08 0.08 0.08 </v>
      </c>
      <c r="AQ16" s="72">
        <f t="shared" ref="AQ16:AQ17" si="433">AL16</f>
        <v>0.25</v>
      </c>
      <c r="AR16" s="72">
        <f t="shared" ref="AR16:AR17" si="434">(BA16-AQ16)/(BA$4-AQ$4)+AQ16</f>
        <v>0.23499999999999999</v>
      </c>
      <c r="AS16" s="72">
        <f t="shared" ref="AS16:AS17" si="435">(BA16-AQ16)/(BA$4-AQ$4)+AR16</f>
        <v>0.21999999999999997</v>
      </c>
      <c r="AT16" s="72">
        <f t="shared" ref="AT16:AT17" si="436">(BA16-AQ16)/(BA$4-AQ$4)+AS16</f>
        <v>0.20499999999999996</v>
      </c>
      <c r="AU16" s="72">
        <f t="shared" ref="AU16:AU17" si="437">(BA16-AQ16)/(BA$4-AQ$4)+AT16</f>
        <v>0.18999999999999995</v>
      </c>
      <c r="AV16" s="72">
        <f t="shared" ref="AV16:AV17" si="438">(BA16-AQ16)/(BA$4-AQ$4)+AU16</f>
        <v>0.17499999999999993</v>
      </c>
      <c r="AW16" s="72">
        <f t="shared" ref="AW16:AW17" si="439">(BA16-AQ16)/(BA$4-AQ$4)+AV16</f>
        <v>0.15999999999999992</v>
      </c>
      <c r="AX16" s="72">
        <f t="shared" ref="AX16:AX17" si="440">(BA16-AQ16)/(BA$4-AQ$4)+AW16</f>
        <v>0.14499999999999991</v>
      </c>
      <c r="AY16" s="72">
        <f t="shared" ref="AY16:AY17" si="441">(BA16-AQ16)/(BA$4-AQ$4)+AX16</f>
        <v>0.12999999999999989</v>
      </c>
      <c r="AZ16" s="72">
        <f t="shared" ref="AZ16:AZ17" si="442">(BA16-AQ16)/(BA$4-AQ$4)+AY16</f>
        <v>0.11499999999999989</v>
      </c>
      <c r="BA16" s="72">
        <f t="shared" ref="BA16:BA17" si="443">AM16</f>
        <v>0.1</v>
      </c>
      <c r="BB16" s="72">
        <f t="shared" ref="BB16:BB17" si="444">(BK16-BA16)/(BK$4-BA$4)+BA16</f>
        <v>9.8000000000000004E-2</v>
      </c>
      <c r="BC16" s="72">
        <f t="shared" ref="BC16:BC17" si="445">(BK16-BA16)/(BK$4-BA$4)+BB16</f>
        <v>9.6000000000000002E-2</v>
      </c>
      <c r="BD16" s="72">
        <f t="shared" ref="BD16:BD17" si="446">(BK16-BA16)/(BK$4-BA$4)+BC16</f>
        <v>9.4E-2</v>
      </c>
      <c r="BE16" s="72">
        <f t="shared" ref="BE16:BE17" si="447">(BK16-BA16)/(BK$4-BA$4)+BD16</f>
        <v>9.1999999999999998E-2</v>
      </c>
      <c r="BF16" s="72">
        <f t="shared" ref="BF16:BF17" si="448">(BK16-BA16)/(BK$4-BA$4)+BE16</f>
        <v>0.09</v>
      </c>
      <c r="BG16" s="72">
        <f t="shared" ref="BG16:BG17" si="449">(BK16-BA16)/(BK$4-BA$4)+BF16</f>
        <v>8.7999999999999995E-2</v>
      </c>
      <c r="BH16" s="72">
        <f t="shared" ref="BH16:BH17" si="450">(BK16-BA16)/(BK$4-BA$4)+BG16</f>
        <v>8.5999999999999993E-2</v>
      </c>
      <c r="BI16" s="72">
        <f t="shared" ref="BI16:BI17" si="451">(BK16-BA16)/(BK$4-BA$4)+BH16</f>
        <v>8.3999999999999991E-2</v>
      </c>
      <c r="BJ16" s="72">
        <f t="shared" ref="BJ16:BJ17" si="452">(BK16-BA16)/(BK$4-BA$4)+BI16</f>
        <v>8.199999999999999E-2</v>
      </c>
      <c r="BK16" s="72">
        <f t="shared" ref="BK16:BK17" si="453">AN16</f>
        <v>0.08</v>
      </c>
      <c r="BL16" s="72">
        <f>(BN16-BK16)/(BN$4-BK$4)+BK16</f>
        <v>0.08</v>
      </c>
      <c r="BM16" s="72">
        <f t="shared" ref="BM16:BM17" si="454">(BK16+BN16)/2</f>
        <v>0.08</v>
      </c>
      <c r="BN16" s="72">
        <f>AO16</f>
        <v>0.08</v>
      </c>
      <c r="BP16" s="84">
        <f ca="1">K16/(K16+K17)*(K18-BP15)</f>
        <v>138.18</v>
      </c>
      <c r="BQ16" s="84">
        <f t="shared" ref="BQ16:BW16" ca="1" si="455">L16/(L16+L17)*(L18-BQ15)</f>
        <v>137.68825622775799</v>
      </c>
      <c r="BR16" s="84">
        <f t="shared" ca="1" si="455"/>
        <v>144.90534351145038</v>
      </c>
      <c r="BS16" s="84">
        <f t="shared" ca="1" si="455"/>
        <v>151.96049382716049</v>
      </c>
      <c r="BT16" s="84">
        <f t="shared" ca="1" si="455"/>
        <v>160.73749999999998</v>
      </c>
      <c r="BU16" s="84">
        <f t="shared" ca="1" si="455"/>
        <v>168.2731707317073</v>
      </c>
      <c r="BV16" s="84">
        <f t="shared" ca="1" si="455"/>
        <v>176.74516129032256</v>
      </c>
      <c r="BW16" s="84">
        <f t="shared" ca="1" si="455"/>
        <v>217.0946107784431</v>
      </c>
      <c r="BX16" s="84">
        <f t="shared" ref="BX16" ca="1" si="456">S16/(S16+S17)*(S18-BX15)</f>
        <v>257.07702702702699</v>
      </c>
      <c r="BY16" s="84">
        <f t="shared" ref="BY16" ca="1" si="457">T16/(T16+T17)*(T18-BY15)</f>
        <v>296.48372093023249</v>
      </c>
      <c r="BZ16" s="84">
        <f t="shared" ref="BZ16" ca="1" si="458">U16/(U16+U17)*(U18-BZ15)</f>
        <v>332.5</v>
      </c>
      <c r="CA16" s="84">
        <f t="shared" ref="CA16" ca="1" si="459">V16/(V16+V17)*(V18-CA15)</f>
        <v>380.36250000000001</v>
      </c>
      <c r="CB16" s="84">
        <f t="shared" ref="CB16" ca="1" si="460">W16/(W16+W17)*(W18-CB15)</f>
        <v>400.61538461538464</v>
      </c>
      <c r="CC16" s="84">
        <f t="shared" ref="CC16:CD16" ca="1" si="461">X16/(X16+X17)*(X18-CC15)</f>
        <v>422.61071428571432</v>
      </c>
      <c r="CD16" s="84">
        <f t="shared" ca="1" si="461"/>
        <v>444.62</v>
      </c>
      <c r="CE16" s="84">
        <f t="shared" ref="CE16" ca="1" si="462">Z16/(Z16+Z17)*(Z18-CE15)</f>
        <v>468.359375</v>
      </c>
      <c r="CF16" s="84">
        <f t="shared" ref="CF16" ca="1" si="463">AA16/(AA16+AA17)*(AA18-CF15)</f>
        <v>493.06453919420892</v>
      </c>
      <c r="CG16" s="84">
        <f t="shared" ref="CG16" ca="1" si="464">AB16/(AB16+AB17)*(AB18-CG15)</f>
        <v>518.92489430930914</v>
      </c>
      <c r="CH16" s="84">
        <f t="shared" ref="CH16" ca="1" si="465">AC16/(AC16+AC17)*(AC18-CH15)</f>
        <v>545.97973812305486</v>
      </c>
      <c r="CI16" s="84">
        <f t="shared" ref="CI16" ca="1" si="466">AD16/(AD16+AD17)*(AD18-CI15)</f>
        <v>574.26969077411536</v>
      </c>
      <c r="CJ16" s="84">
        <f t="shared" ref="CJ16:CK16" ca="1" si="467">AE16/(AE16+AE17)*(AE18-CJ15)</f>
        <v>601.68876381131827</v>
      </c>
      <c r="CK16" s="84">
        <f t="shared" ca="1" si="467"/>
        <v>632.93095895203521</v>
      </c>
      <c r="CL16" s="84">
        <f t="shared" ref="CL16" ca="1" si="468">AG16/(AG16+AG17)*(AG18-CL15)</f>
        <v>963.17500702324969</v>
      </c>
      <c r="CM16" s="84">
        <f t="shared" ref="CM16" ca="1" si="469">AH16/(AH16+AH17)*(AH18-CM15)</f>
        <v>1487.5509059054082</v>
      </c>
      <c r="CN16" s="118" t="str">
        <f t="shared" ca="1" si="371"/>
        <v xml:space="preserve">11.2 11.4 12.3 13.1 14.1 15.1 16.1 20.1 24.3 28.5 32.5 37.2 39.3 41.5 43.8 46.2 48.8 51.4 54.2 57.2 60 63.1 96.1 148.4 </v>
      </c>
      <c r="CO16" s="117">
        <f t="shared" ref="CO16:CO17" ca="1" si="470">ROUND(BP16*(1-AQ16)*(1-$AK16)/8.76,1)</f>
        <v>11.2</v>
      </c>
      <c r="CP16" s="117">
        <f t="shared" ca="1" si="372"/>
        <v>11.4</v>
      </c>
      <c r="CQ16" s="117">
        <f t="shared" ca="1" si="373"/>
        <v>12.3</v>
      </c>
      <c r="CR16" s="117">
        <f t="shared" ca="1" si="374"/>
        <v>13.1</v>
      </c>
      <c r="CS16" s="117">
        <f t="shared" ca="1" si="375"/>
        <v>14.1</v>
      </c>
      <c r="CT16" s="117">
        <f t="shared" ca="1" si="376"/>
        <v>15.1</v>
      </c>
      <c r="CU16" s="117">
        <f t="shared" ca="1" si="377"/>
        <v>16.100000000000001</v>
      </c>
      <c r="CV16" s="117">
        <f t="shared" ca="1" si="378"/>
        <v>20.100000000000001</v>
      </c>
      <c r="CW16" s="117">
        <f t="shared" ca="1" si="379"/>
        <v>24.3</v>
      </c>
      <c r="CX16" s="117">
        <f t="shared" ca="1" si="380"/>
        <v>28.5</v>
      </c>
      <c r="CY16" s="117">
        <f t="shared" ca="1" si="381"/>
        <v>32.5</v>
      </c>
      <c r="CZ16" s="117">
        <f t="shared" ca="1" si="382"/>
        <v>37.200000000000003</v>
      </c>
      <c r="DA16" s="117">
        <f t="shared" ca="1" si="383"/>
        <v>39.299999999999997</v>
      </c>
      <c r="DB16" s="117">
        <f t="shared" ca="1" si="384"/>
        <v>41.5</v>
      </c>
      <c r="DC16" s="117">
        <f t="shared" ca="1" si="385"/>
        <v>43.8</v>
      </c>
      <c r="DD16" s="117">
        <f t="shared" ca="1" si="386"/>
        <v>46.2</v>
      </c>
      <c r="DE16" s="117">
        <f t="shared" ref="DE16:DE17" ca="1" si="471">ROUND(CF16*(1-BG16)*(1-$AK16)/8.76,1)</f>
        <v>48.8</v>
      </c>
      <c r="DF16" s="117">
        <f t="shared" ca="1" si="387"/>
        <v>51.4</v>
      </c>
      <c r="DG16" s="117">
        <f t="shared" ca="1" si="388"/>
        <v>54.2</v>
      </c>
      <c r="DH16" s="117">
        <f t="shared" ref="DH16:DH17" ca="1" si="472">ROUND(CI16*(1-BJ16)*(1-$AK16)/8.76,1)</f>
        <v>57.2</v>
      </c>
      <c r="DI16" s="117">
        <f t="shared" ca="1" si="389"/>
        <v>60</v>
      </c>
      <c r="DJ16" s="117">
        <f t="shared" ref="DJ16:DJ17" ca="1" si="473">ROUND(CK16*(1-BL16)*(1-$AK16)/8.76,1)</f>
        <v>63.1</v>
      </c>
      <c r="DK16" s="117">
        <f t="shared" ref="DK16:DK17" ca="1" si="474">ROUND(CL16*(1-BM16)*(1-$AK16)/8.76,1)</f>
        <v>96.1</v>
      </c>
      <c r="DL16" s="117">
        <f t="shared" ca="1" si="390"/>
        <v>148.4</v>
      </c>
      <c r="DM16" s="118" t="str">
        <f t="shared" si="391"/>
        <v xml:space="preserve">0.75 0.765 0.78 0.795 0.81 0.825 0.84 0.855 0.87 0.885 0.9 0.902 0.904 0.906 0.908 0.91 0.912 0.914 0.916 0.918 0.92 0.92 0.92 0.92 </v>
      </c>
      <c r="DN16" s="72">
        <f t="shared" ref="DN16:DN17" si="475">1-AQ16</f>
        <v>0.75</v>
      </c>
      <c r="DO16" s="72">
        <f t="shared" si="392"/>
        <v>0.76500000000000001</v>
      </c>
      <c r="DP16" s="72">
        <f t="shared" si="393"/>
        <v>0.78</v>
      </c>
      <c r="DQ16" s="72">
        <f t="shared" si="394"/>
        <v>0.79500000000000004</v>
      </c>
      <c r="DR16" s="72">
        <f t="shared" si="395"/>
        <v>0.81</v>
      </c>
      <c r="DS16" s="72">
        <f t="shared" si="396"/>
        <v>0.82500000000000007</v>
      </c>
      <c r="DT16" s="72">
        <f t="shared" si="397"/>
        <v>0.84000000000000008</v>
      </c>
      <c r="DU16" s="72">
        <f t="shared" si="398"/>
        <v>0.85500000000000009</v>
      </c>
      <c r="DV16" s="72">
        <f t="shared" si="399"/>
        <v>0.87000000000000011</v>
      </c>
      <c r="DW16" s="72">
        <f t="shared" si="400"/>
        <v>0.88500000000000012</v>
      </c>
      <c r="DX16" s="72">
        <f t="shared" si="401"/>
        <v>0.9</v>
      </c>
      <c r="DY16" s="72">
        <f t="shared" si="402"/>
        <v>0.90200000000000002</v>
      </c>
      <c r="DZ16" s="72">
        <f t="shared" si="403"/>
        <v>0.90400000000000003</v>
      </c>
      <c r="EA16" s="72">
        <f t="shared" si="404"/>
        <v>0.90600000000000003</v>
      </c>
      <c r="EB16" s="72">
        <f t="shared" si="405"/>
        <v>0.90800000000000003</v>
      </c>
      <c r="EC16" s="72">
        <f t="shared" si="406"/>
        <v>0.91</v>
      </c>
      <c r="ED16" s="72">
        <f t="shared" si="407"/>
        <v>0.91200000000000003</v>
      </c>
      <c r="EE16" s="72">
        <f t="shared" si="408"/>
        <v>0.91400000000000003</v>
      </c>
      <c r="EF16" s="72">
        <f t="shared" si="409"/>
        <v>0.91600000000000004</v>
      </c>
      <c r="EG16" s="72">
        <f t="shared" si="410"/>
        <v>0.91800000000000004</v>
      </c>
      <c r="EH16" s="72">
        <f t="shared" si="411"/>
        <v>0.92</v>
      </c>
      <c r="EI16" s="72">
        <f t="shared" si="412"/>
        <v>0.92</v>
      </c>
      <c r="EJ16" s="72">
        <f t="shared" si="413"/>
        <v>0.92</v>
      </c>
      <c r="EK16" s="72">
        <f t="shared" si="414"/>
        <v>0.92</v>
      </c>
    </row>
    <row r="17" spans="1:141" x14ac:dyDescent="0.25">
      <c r="A17" t="str">
        <f t="shared" si="20"/>
        <v>RuralGBI</v>
      </c>
      <c r="B17" t="str">
        <f t="shared" si="368"/>
        <v>Rural</v>
      </c>
      <c r="C17" t="str">
        <f>IFERROR(VLOOKUP(D17,'For model'!$B$4:$C$16,2,FALSE),C16)</f>
        <v>GBI</v>
      </c>
      <c r="D17" t="s">
        <v>518</v>
      </c>
      <c r="E17" s="72">
        <v>0.02</v>
      </c>
      <c r="F17" s="72">
        <v>0.03</v>
      </c>
      <c r="G17" s="72">
        <v>0.05</v>
      </c>
      <c r="H17" s="72">
        <v>0.1</v>
      </c>
      <c r="I17" s="72">
        <v>0.1</v>
      </c>
      <c r="K17" s="72">
        <f t="shared" si="417"/>
        <v>0.02</v>
      </c>
      <c r="L17" s="72">
        <f t="shared" ref="L17:O17" si="476">($P17-$K17)/($P$4-$K$4)+K17</f>
        <v>2.1999999999999999E-2</v>
      </c>
      <c r="M17" s="72">
        <f t="shared" si="476"/>
        <v>2.3999999999999997E-2</v>
      </c>
      <c r="N17" s="72">
        <f t="shared" si="476"/>
        <v>2.5999999999999995E-2</v>
      </c>
      <c r="O17" s="72">
        <f t="shared" si="476"/>
        <v>2.7999999999999994E-2</v>
      </c>
      <c r="P17" s="72">
        <f t="shared" si="419"/>
        <v>0.03</v>
      </c>
      <c r="Q17" s="72">
        <f t="shared" ref="Q17:T17" si="477">($U17-$P17)/($U$4-$P$4)+P17</f>
        <v>3.4000000000000002E-2</v>
      </c>
      <c r="R17" s="72">
        <f t="shared" si="477"/>
        <v>3.8000000000000006E-2</v>
      </c>
      <c r="S17" s="72">
        <f t="shared" si="477"/>
        <v>4.200000000000001E-2</v>
      </c>
      <c r="T17" s="72">
        <f t="shared" si="477"/>
        <v>4.6000000000000013E-2</v>
      </c>
      <c r="U17" s="72">
        <f t="shared" si="421"/>
        <v>0.05</v>
      </c>
      <c r="V17" s="72">
        <f t="shared" si="422"/>
        <v>5.5E-2</v>
      </c>
      <c r="W17" s="72">
        <f t="shared" si="423"/>
        <v>0.06</v>
      </c>
      <c r="X17" s="72">
        <f t="shared" si="424"/>
        <v>6.5000000000000002E-2</v>
      </c>
      <c r="Y17" s="72">
        <f t="shared" si="425"/>
        <v>7.0000000000000007E-2</v>
      </c>
      <c r="Z17" s="72">
        <f t="shared" si="426"/>
        <v>7.5000000000000011E-2</v>
      </c>
      <c r="AA17" s="72">
        <f t="shared" si="427"/>
        <v>8.0000000000000016E-2</v>
      </c>
      <c r="AB17" s="72">
        <f t="shared" si="428"/>
        <v>8.500000000000002E-2</v>
      </c>
      <c r="AC17" s="72">
        <f t="shared" si="429"/>
        <v>9.0000000000000024E-2</v>
      </c>
      <c r="AD17" s="72">
        <f t="shared" si="430"/>
        <v>9.5000000000000029E-2</v>
      </c>
      <c r="AE17" s="72">
        <f t="shared" si="431"/>
        <v>0.1</v>
      </c>
      <c r="AF17" s="72">
        <f>(AH17-AE17)/(AH$4-AE$4)+AE17</f>
        <v>0.1</v>
      </c>
      <c r="AG17" s="72">
        <f t="shared" si="432"/>
        <v>0.1</v>
      </c>
      <c r="AH17" s="72">
        <f>I17</f>
        <v>0.1</v>
      </c>
      <c r="AJ17" s="116">
        <f>1-((1-AL17)*K17+(1-AL16)*K16+(1-AL15)*K15)*(1-AK15)</f>
        <v>0.28844999999999998</v>
      </c>
      <c r="AK17" s="72">
        <f>AK16</f>
        <v>0.05</v>
      </c>
      <c r="AL17" s="72">
        <v>0.3</v>
      </c>
      <c r="AM17" s="72">
        <v>0.2</v>
      </c>
      <c r="AN17" s="72">
        <v>0.2</v>
      </c>
      <c r="AO17" s="72">
        <f>AN17</f>
        <v>0.2</v>
      </c>
      <c r="AP17" s="118" t="str">
        <f>AQ17&amp;" "&amp;AR17&amp;" "&amp;AS17&amp;" "&amp;AT17&amp;" "&amp;AU17&amp;" "&amp;AV17&amp;" "&amp;AW17&amp;" "&amp;AX17&amp;" "&amp;AY17&amp;" "&amp;AZ17&amp;" "&amp;BA17&amp;" "&amp;BB17&amp;" "&amp;BC17&amp;" "&amp;BD17&amp;" "&amp;BE17&amp;" "&amp;BF17&amp;" "&amp;BG17&amp;" "&amp;BH17&amp;" "&amp;BI17&amp;" "&amp;BJ17&amp;" "&amp;BK17&amp;" "&amp;BL17&amp;" "&amp;BM17&amp;" "&amp;BN17&amp;" "</f>
        <v xml:space="preserve">0.3 0.29 0.28 0.27 0.26 0.25 0.24 0.23 0.22 0.21 0.2 0.2 0.2 0.2 0.2 0.2 0.2 0.2 0.2 0.2 0.2 0.2 0.2 0.2 </v>
      </c>
      <c r="AQ17" s="72">
        <f t="shared" si="433"/>
        <v>0.3</v>
      </c>
      <c r="AR17" s="72">
        <f t="shared" si="434"/>
        <v>0.28999999999999998</v>
      </c>
      <c r="AS17" s="72">
        <f t="shared" si="435"/>
        <v>0.27999999999999997</v>
      </c>
      <c r="AT17" s="72">
        <f t="shared" si="436"/>
        <v>0.26999999999999996</v>
      </c>
      <c r="AU17" s="72">
        <f t="shared" si="437"/>
        <v>0.25999999999999995</v>
      </c>
      <c r="AV17" s="72">
        <f t="shared" si="438"/>
        <v>0.24999999999999994</v>
      </c>
      <c r="AW17" s="72">
        <f t="shared" si="439"/>
        <v>0.23999999999999994</v>
      </c>
      <c r="AX17" s="72">
        <f t="shared" si="440"/>
        <v>0.22999999999999993</v>
      </c>
      <c r="AY17" s="72">
        <f t="shared" si="441"/>
        <v>0.21999999999999992</v>
      </c>
      <c r="AZ17" s="72">
        <f t="shared" si="442"/>
        <v>0.20999999999999991</v>
      </c>
      <c r="BA17" s="72">
        <f t="shared" si="443"/>
        <v>0.2</v>
      </c>
      <c r="BB17" s="72">
        <f t="shared" si="444"/>
        <v>0.2</v>
      </c>
      <c r="BC17" s="72">
        <f t="shared" si="445"/>
        <v>0.2</v>
      </c>
      <c r="BD17" s="72">
        <f t="shared" si="446"/>
        <v>0.2</v>
      </c>
      <c r="BE17" s="72">
        <f t="shared" si="447"/>
        <v>0.2</v>
      </c>
      <c r="BF17" s="72">
        <f t="shared" si="448"/>
        <v>0.2</v>
      </c>
      <c r="BG17" s="72">
        <f t="shared" si="449"/>
        <v>0.2</v>
      </c>
      <c r="BH17" s="72">
        <f t="shared" si="450"/>
        <v>0.2</v>
      </c>
      <c r="BI17" s="72">
        <f t="shared" si="451"/>
        <v>0.2</v>
      </c>
      <c r="BJ17" s="72">
        <f t="shared" si="452"/>
        <v>0.2</v>
      </c>
      <c r="BK17" s="72">
        <f t="shared" si="453"/>
        <v>0.2</v>
      </c>
      <c r="BL17" s="72">
        <f>(BN17-BK17)/(BN$4-BK$4)+BK17</f>
        <v>0.2</v>
      </c>
      <c r="BM17" s="72">
        <f t="shared" si="454"/>
        <v>0.2</v>
      </c>
      <c r="BN17" s="72">
        <f>AO17</f>
        <v>0.2</v>
      </c>
      <c r="BP17" s="84">
        <f ca="1">K17/(K16+K17)*(K18-BP15)</f>
        <v>2.82</v>
      </c>
      <c r="BQ17" s="84">
        <f t="shared" ref="BQ17:BW17" ca="1" si="478">L17/(L16+L17)*(L18-BQ15)</f>
        <v>3.3117437722419929</v>
      </c>
      <c r="BR17" s="84">
        <f t="shared" ca="1" si="478"/>
        <v>4.0946564885496182</v>
      </c>
      <c r="BS17" s="84">
        <f t="shared" ca="1" si="478"/>
        <v>5.0395061728395056</v>
      </c>
      <c r="BT17" s="84">
        <f t="shared" ca="1" si="478"/>
        <v>6.2625000000000002</v>
      </c>
      <c r="BU17" s="84">
        <f t="shared" ca="1" si="478"/>
        <v>7.7268292682926827</v>
      </c>
      <c r="BV17" s="84">
        <f t="shared" ca="1" si="478"/>
        <v>10.25483870967742</v>
      </c>
      <c r="BW17" s="84">
        <f t="shared" ca="1" si="478"/>
        <v>15.90538922155689</v>
      </c>
      <c r="BX17" s="84">
        <f t="shared" ref="BX17" ca="1" si="479">S17/(S16+S17)*(S18-BX15)</f>
        <v>23.922972972972982</v>
      </c>
      <c r="BY17" s="84">
        <f t="shared" ref="BY17" ca="1" si="480">T17/(T16+T17)*(T18-BY15)</f>
        <v>35.516279069767457</v>
      </c>
      <c r="BZ17" s="84">
        <f t="shared" ref="BZ17" ca="1" si="481">U17/(U16+U17)*(U18-BZ15)</f>
        <v>52.499999999999993</v>
      </c>
      <c r="CA17" s="84">
        <f t="shared" ref="CA17" ca="1" si="482">V17/(V16+V17)*(V18-CA15)</f>
        <v>60.637499999999996</v>
      </c>
      <c r="CB17" s="84">
        <f t="shared" ref="CB17" ca="1" si="483">W17/(W16+W17)*(W18-CB15)</f>
        <v>64.384615384615373</v>
      </c>
      <c r="CC17" s="84">
        <f t="shared" ref="CC17:CD17" ca="1" si="484">X17/(X16+X17)*(X18-CC15)</f>
        <v>68.38928571428572</v>
      </c>
      <c r="CD17" s="84">
        <f t="shared" ca="1" si="484"/>
        <v>72.38000000000001</v>
      </c>
      <c r="CE17" s="84">
        <f t="shared" ref="CE17" ca="1" si="485">Z17/(Z16+Z17)*(Z18-CE15)</f>
        <v>76.640625000000014</v>
      </c>
      <c r="CF17" s="84">
        <f t="shared" ref="CF17" ca="1" si="486">AA17/(AA16+AA17)*(AA18-CF15)</f>
        <v>81.051705073020671</v>
      </c>
      <c r="CG17" s="84">
        <f t="shared" ref="CG17" ca="1" si="487">AB17/(AB16+AB17)*(AB18-CG15)</f>
        <v>85.647798089885995</v>
      </c>
      <c r="CH17" s="84">
        <f t="shared" ref="CH17" ca="1" si="488">AC17/(AC16+AC17)*(AC18-CH15)</f>
        <v>90.438361529585805</v>
      </c>
      <c r="CI17" s="84">
        <f t="shared" ref="CI17" ca="1" si="489">AD17/(AD16+AD17)*(AD18-CI15)</f>
        <v>95.432572519313652</v>
      </c>
      <c r="CJ17" s="84">
        <f t="shared" ref="CJ17:CK17" ca="1" si="490">AE17/(AE16+AE17)*(AE18-CJ15)</f>
        <v>100.28146063521972</v>
      </c>
      <c r="CK17" s="84">
        <f t="shared" ca="1" si="490"/>
        <v>105.48849315867254</v>
      </c>
      <c r="CL17" s="84">
        <f t="shared" ref="CL17" ca="1" si="491">AG17/(AG16+AG17)*(AG18-CL15)</f>
        <v>160.52916783720829</v>
      </c>
      <c r="CM17" s="84">
        <f t="shared" ref="CM17" ca="1" si="492">AH17/(AH16+AH17)*(AH18-CM15)</f>
        <v>247.9251509842347</v>
      </c>
      <c r="CN17" s="118" t="str">
        <f t="shared" ca="1" si="371"/>
        <v xml:space="preserve">0.2 0.3 0.3 0.4 0.5 0.6 0.8 1.3 2 3 4.6 5.3 5.6 5.9 6.3 6.6 7 7.4 7.8 8.3 8.7 9.2 13.9 21.5 </v>
      </c>
      <c r="CO17" s="117">
        <f t="shared" ca="1" si="470"/>
        <v>0.2</v>
      </c>
      <c r="CP17" s="117">
        <f t="shared" ca="1" si="372"/>
        <v>0.3</v>
      </c>
      <c r="CQ17" s="117">
        <f t="shared" ca="1" si="373"/>
        <v>0.3</v>
      </c>
      <c r="CR17" s="117">
        <f t="shared" ca="1" si="374"/>
        <v>0.4</v>
      </c>
      <c r="CS17" s="117">
        <f t="shared" ca="1" si="375"/>
        <v>0.5</v>
      </c>
      <c r="CT17" s="117">
        <f t="shared" ca="1" si="376"/>
        <v>0.6</v>
      </c>
      <c r="CU17" s="117">
        <f t="shared" ca="1" si="377"/>
        <v>0.8</v>
      </c>
      <c r="CV17" s="117">
        <f t="shared" ca="1" si="378"/>
        <v>1.3</v>
      </c>
      <c r="CW17" s="117">
        <f t="shared" ca="1" si="379"/>
        <v>2</v>
      </c>
      <c r="CX17" s="117">
        <f t="shared" ca="1" si="380"/>
        <v>3</v>
      </c>
      <c r="CY17" s="117">
        <f t="shared" ca="1" si="381"/>
        <v>4.5999999999999996</v>
      </c>
      <c r="CZ17" s="117">
        <f t="shared" ca="1" si="382"/>
        <v>5.3</v>
      </c>
      <c r="DA17" s="117">
        <f t="shared" ca="1" si="383"/>
        <v>5.6</v>
      </c>
      <c r="DB17" s="117">
        <f t="shared" ca="1" si="384"/>
        <v>5.9</v>
      </c>
      <c r="DC17" s="117">
        <f t="shared" ca="1" si="385"/>
        <v>6.3</v>
      </c>
      <c r="DD17" s="117">
        <f t="shared" ca="1" si="386"/>
        <v>6.6</v>
      </c>
      <c r="DE17" s="117">
        <f t="shared" ca="1" si="471"/>
        <v>7</v>
      </c>
      <c r="DF17" s="117">
        <f t="shared" ca="1" si="387"/>
        <v>7.4</v>
      </c>
      <c r="DG17" s="117">
        <f t="shared" ca="1" si="388"/>
        <v>7.8</v>
      </c>
      <c r="DH17" s="117">
        <f t="shared" ca="1" si="472"/>
        <v>8.3000000000000007</v>
      </c>
      <c r="DI17" s="117">
        <f t="shared" ca="1" si="389"/>
        <v>8.6999999999999993</v>
      </c>
      <c r="DJ17" s="117">
        <f t="shared" ca="1" si="473"/>
        <v>9.1999999999999993</v>
      </c>
      <c r="DK17" s="117">
        <f t="shared" ca="1" si="474"/>
        <v>13.9</v>
      </c>
      <c r="DL17" s="117">
        <f t="shared" ca="1" si="390"/>
        <v>21.5</v>
      </c>
      <c r="DM17" s="118" t="str">
        <f t="shared" si="391"/>
        <v xml:space="preserve">0.7 0.71 0.72 0.73 0.74 0.75 0.76 0.77 0.78 0.79 0.8 0.8 0.8 0.8 0.8 0.8 0.8 0.8 0.8 0.8 0.8 0.8 0.8 0.8 </v>
      </c>
      <c r="DN17" s="72">
        <f t="shared" si="475"/>
        <v>0.7</v>
      </c>
      <c r="DO17" s="72">
        <f t="shared" si="392"/>
        <v>0.71</v>
      </c>
      <c r="DP17" s="72">
        <f t="shared" si="393"/>
        <v>0.72</v>
      </c>
      <c r="DQ17" s="72">
        <f t="shared" si="394"/>
        <v>0.73</v>
      </c>
      <c r="DR17" s="72">
        <f t="shared" si="395"/>
        <v>0.74</v>
      </c>
      <c r="DS17" s="72">
        <f t="shared" si="396"/>
        <v>0.75</v>
      </c>
      <c r="DT17" s="72">
        <f t="shared" si="397"/>
        <v>0.76</v>
      </c>
      <c r="DU17" s="72">
        <f t="shared" si="398"/>
        <v>0.77</v>
      </c>
      <c r="DV17" s="72">
        <f t="shared" si="399"/>
        <v>0.78</v>
      </c>
      <c r="DW17" s="72">
        <f t="shared" si="400"/>
        <v>0.79</v>
      </c>
      <c r="DX17" s="72">
        <f t="shared" si="401"/>
        <v>0.8</v>
      </c>
      <c r="DY17" s="72">
        <f t="shared" si="402"/>
        <v>0.8</v>
      </c>
      <c r="DZ17" s="72">
        <f t="shared" si="403"/>
        <v>0.8</v>
      </c>
      <c r="EA17" s="72">
        <f t="shared" si="404"/>
        <v>0.8</v>
      </c>
      <c r="EB17" s="72">
        <f t="shared" si="405"/>
        <v>0.8</v>
      </c>
      <c r="EC17" s="72">
        <f t="shared" si="406"/>
        <v>0.8</v>
      </c>
      <c r="ED17" s="72">
        <f t="shared" si="407"/>
        <v>0.8</v>
      </c>
      <c r="EE17" s="72">
        <f t="shared" si="408"/>
        <v>0.8</v>
      </c>
      <c r="EF17" s="72">
        <f t="shared" si="409"/>
        <v>0.8</v>
      </c>
      <c r="EG17" s="72">
        <f t="shared" si="410"/>
        <v>0.8</v>
      </c>
      <c r="EH17" s="72">
        <f t="shared" si="411"/>
        <v>0.8</v>
      </c>
      <c r="EI17" s="72">
        <f t="shared" si="412"/>
        <v>0.8</v>
      </c>
      <c r="EJ17" s="72">
        <f t="shared" si="413"/>
        <v>0.8</v>
      </c>
      <c r="EK17" s="72">
        <f t="shared" si="414"/>
        <v>0.8</v>
      </c>
    </row>
    <row r="18" spans="1:141" x14ac:dyDescent="0.25">
      <c r="A18" t="str">
        <f t="shared" si="20"/>
        <v>GBI</v>
      </c>
      <c r="C18" t="str">
        <f>IFERROR(VLOOKUP(D18,'For model'!$B$4:$C$16,2,FALSE),C17)</f>
        <v>GBI</v>
      </c>
      <c r="D18" t="s">
        <v>537</v>
      </c>
      <c r="K18" s="84">
        <f ca="1">OFFSET(SourceData!$BS$4,MATCH(K14,SourceData!$BS$5:$BS$28,0),MATCH($C18,SourceData!$BT$3:$CF$3,0))</f>
        <v>141</v>
      </c>
      <c r="L18" s="84">
        <f ca="1">OFFSET(SourceData!$BS$4,MATCH(L14,SourceData!$BS$5:$BS$28,0),MATCH($C18,SourceData!$BT$3:$CF$3,0))</f>
        <v>141</v>
      </c>
      <c r="M18" s="84">
        <f ca="1">OFFSET(SourceData!$BS$4,MATCH(M14,SourceData!$BS$5:$BS$28,0),MATCH($C18,SourceData!$BT$3:$CF$3,0))</f>
        <v>149</v>
      </c>
      <c r="N18" s="84">
        <f ca="1">OFFSET(SourceData!$BS$4,MATCH(N14,SourceData!$BS$5:$BS$28,0),MATCH($C18,SourceData!$BT$3:$CF$3,0))</f>
        <v>157</v>
      </c>
      <c r="O18" s="84">
        <f ca="1">OFFSET(SourceData!$BS$4,MATCH(O14,SourceData!$BS$5:$BS$28,0),MATCH($C18,SourceData!$BT$3:$CF$3,0))</f>
        <v>167</v>
      </c>
      <c r="P18" s="84">
        <f ca="1">OFFSET(SourceData!$BS$4,MATCH(P14,SourceData!$BS$5:$BS$28,0),MATCH($C18,SourceData!$BT$3:$CF$3,0))</f>
        <v>176</v>
      </c>
      <c r="Q18" s="84">
        <f ca="1">OFFSET(SourceData!$BS$4,MATCH(Q14,SourceData!$BS$5:$BS$28,0),MATCH($C18,SourceData!$BT$3:$CF$3,0))</f>
        <v>538</v>
      </c>
      <c r="R18" s="84">
        <f ca="1">OFFSET(SourceData!$BS$4,MATCH(R14,SourceData!$BS$5:$BS$28,0),MATCH($C18,SourceData!$BT$3:$CF$3,0))</f>
        <v>584</v>
      </c>
      <c r="S18" s="84">
        <f ca="1">OFFSET(SourceData!$BS$4,MATCH(S14,SourceData!$BS$5:$BS$28,0),MATCH($C18,SourceData!$BT$3:$CF$3,0))</f>
        <v>632</v>
      </c>
      <c r="T18" s="84">
        <f ca="1">OFFSET(SourceData!$BS$4,MATCH(T14,SourceData!$BS$5:$BS$28,0),MATCH($C18,SourceData!$BT$3:$CF$3,0))</f>
        <v>683</v>
      </c>
      <c r="U18" s="84">
        <f ca="1">OFFSET(SourceData!$BS$4,MATCH(U14,SourceData!$BS$5:$BS$28,0),MATCH($C18,SourceData!$BT$3:$CF$3,0))</f>
        <v>1086</v>
      </c>
      <c r="V18" s="84">
        <f ca="1">OFFSET(SourceData!$BS$4,MATCH(V14,SourceData!$BS$5:$BS$28,0),MATCH($C18,SourceData!$BT$3:$CF$3,0))</f>
        <v>1142</v>
      </c>
      <c r="W18" s="84">
        <f ca="1">OFFSET(SourceData!$BS$4,MATCH(W14,SourceData!$BS$5:$BS$28,0),MATCH($C18,SourceData!$BT$3:$CF$3,0))</f>
        <v>1166</v>
      </c>
      <c r="X18" s="84">
        <f ca="1">OFFSET(SourceData!$BS$4,MATCH(X14,SourceData!$BS$5:$BS$28,0),MATCH($C18,SourceData!$BT$3:$CF$3,0))</f>
        <v>1192</v>
      </c>
      <c r="Y18" s="84">
        <f ca="1">OFFSET(SourceData!$BS$4,MATCH(Y14,SourceData!$BS$5:$BS$28,0),MATCH($C18,SourceData!$BT$3:$CF$3,0))</f>
        <v>1218</v>
      </c>
      <c r="Z18" s="84">
        <f ca="1">OFFSET(SourceData!$BS$4,MATCH(Z14,SourceData!$BS$5:$BS$28,0),MATCH($C18,SourceData!$BT$3:$CF$3,0))</f>
        <v>1246</v>
      </c>
      <c r="AA18" s="84">
        <f ca="1">OFFSET(SourceData!$BS$4,MATCH(AA14,SourceData!$BS$5:$BS$28,0),MATCH($C18,SourceData!$BT$3:$CF$3,0))</f>
        <v>1275.1162442672296</v>
      </c>
      <c r="AB18" s="84">
        <f ca="1">OFFSET(SourceData!$BS$4,MATCH(AB14,SourceData!$BS$5:$BS$28,0),MATCH($C18,SourceData!$BT$3:$CF$3,0))</f>
        <v>1305.5726923991951</v>
      </c>
      <c r="AC18" s="84">
        <f ca="1">OFFSET(SourceData!$BS$4,MATCH(AC14,SourceData!$BS$5:$BS$28,0),MATCH($C18,SourceData!$BT$3:$CF$3,0))</f>
        <v>1337.4180996526406</v>
      </c>
      <c r="AD18" s="84">
        <f ca="1">OFFSET(SourceData!$BS$4,MATCH(AD14,SourceData!$BS$5:$BS$28,0),MATCH($C18,SourceData!$BT$3:$CF$3,0))</f>
        <v>1370.702263293429</v>
      </c>
      <c r="AE18" s="84">
        <f ca="1">OFFSET(SourceData!$BS$4,MATCH(AE14,SourceData!$BS$5:$BS$28,0),MATCH($C18,SourceData!$BT$3:$CF$3,0))</f>
        <v>1402.9702244465379</v>
      </c>
      <c r="AF18" s="84">
        <f ca="1">OFFSET(SourceData!$BS$4,MATCH(AF14,SourceData!$BS$5:$BS$28,0),MATCH($C18,SourceData!$BT$3:$CF$3,0))</f>
        <v>1439.4194521107077</v>
      </c>
      <c r="AG18" s="84">
        <f ca="1">OFFSET(SourceData!$BS$4,MATCH(AG14,SourceData!$BS$5:$BS$28,0),MATCH($C18,SourceData!$BT$3:$CF$3,0))</f>
        <v>1824.7041748604579</v>
      </c>
      <c r="AH18" s="84">
        <f ca="1">OFFSET(SourceData!$BS$4,MATCH(AH14,SourceData!$BS$5:$BS$28,0),MATCH($C18,SourceData!$BT$3:$CF$3,0))</f>
        <v>2436.4760568896427</v>
      </c>
      <c r="BP18" s="84">
        <f ca="1">SUM(BP15:BP17)</f>
        <v>141</v>
      </c>
      <c r="BQ18" s="84">
        <f t="shared" ref="BQ18:BW18" ca="1" si="493">SUM(BQ15:BQ17)</f>
        <v>140.99999999999997</v>
      </c>
      <c r="BR18" s="84">
        <f t="shared" ca="1" si="493"/>
        <v>149</v>
      </c>
      <c r="BS18" s="84">
        <f t="shared" ca="1" si="493"/>
        <v>157</v>
      </c>
      <c r="BT18" s="84">
        <f t="shared" ca="1" si="493"/>
        <v>166.99999999999997</v>
      </c>
      <c r="BU18" s="84">
        <f t="shared" ca="1" si="493"/>
        <v>175.99999999999997</v>
      </c>
      <c r="BV18" s="84">
        <f t="shared" ca="1" si="493"/>
        <v>538</v>
      </c>
      <c r="BW18" s="84">
        <f t="shared" ca="1" si="493"/>
        <v>584</v>
      </c>
      <c r="BX18" s="84">
        <f t="shared" ref="BX18" ca="1" si="494">SUM(BX15:BX17)</f>
        <v>632</v>
      </c>
      <c r="BY18" s="84">
        <f t="shared" ref="BY18" ca="1" si="495">SUM(BY15:BY17)</f>
        <v>683</v>
      </c>
      <c r="BZ18" s="84">
        <f t="shared" ref="BZ18" ca="1" si="496">SUM(BZ15:BZ17)</f>
        <v>1086</v>
      </c>
      <c r="CA18" s="84">
        <f t="shared" ref="CA18" ca="1" si="497">SUM(CA15:CA17)</f>
        <v>1142</v>
      </c>
      <c r="CB18" s="84">
        <f t="shared" ref="CB18" ca="1" si="498">SUM(CB15:CB17)</f>
        <v>1166.0000000000002</v>
      </c>
      <c r="CC18" s="84">
        <f t="shared" ref="CC18:CD18" ca="1" si="499">SUM(CC15:CC17)</f>
        <v>1192</v>
      </c>
      <c r="CD18" s="84">
        <f t="shared" ca="1" si="499"/>
        <v>1218</v>
      </c>
      <c r="CE18" s="84">
        <f t="shared" ref="CE18" ca="1" si="500">SUM(CE15:CE17)</f>
        <v>1246</v>
      </c>
      <c r="CF18" s="84">
        <f t="shared" ref="CF18" ca="1" si="501">SUM(CF15:CF17)</f>
        <v>1275.1162442672296</v>
      </c>
      <c r="CG18" s="84">
        <f t="shared" ref="CG18" ca="1" si="502">SUM(CG15:CG17)</f>
        <v>1305.5726923991951</v>
      </c>
      <c r="CH18" s="84">
        <f t="shared" ref="CH18" ca="1" si="503">SUM(CH15:CH17)</f>
        <v>1337.4180996526406</v>
      </c>
      <c r="CI18" s="84">
        <f t="shared" ref="CI18" ca="1" si="504">SUM(CI15:CI17)</f>
        <v>1370.702263293429</v>
      </c>
      <c r="CJ18" s="84">
        <f t="shared" ref="CJ18:CK18" ca="1" si="505">SUM(CJ15:CJ17)</f>
        <v>1402.9702244465379</v>
      </c>
      <c r="CK18" s="84">
        <f t="shared" ca="1" si="505"/>
        <v>1439.4194521107079</v>
      </c>
      <c r="CL18" s="84">
        <f t="shared" ref="CL18" ca="1" si="506">SUM(CL15:CL17)</f>
        <v>1824.7041748604579</v>
      </c>
      <c r="CM18" s="84">
        <f t="shared" ref="CM18" ca="1" si="507">SUM(CM15:CM17)</f>
        <v>2436.4760568896431</v>
      </c>
    </row>
    <row r="19" spans="1:141" x14ac:dyDescent="0.25">
      <c r="A19" t="str">
        <f t="shared" si="20"/>
        <v>GUI</v>
      </c>
      <c r="C19" t="str">
        <f>IFERROR(VLOOKUP(D19,'For model'!$B$4:$C$16,2,FALSE),C18)</f>
        <v>GUI</v>
      </c>
      <c r="D19" s="92" t="s">
        <v>72</v>
      </c>
      <c r="E19">
        <v>2010</v>
      </c>
      <c r="F19">
        <v>2015</v>
      </c>
      <c r="G19">
        <v>2020</v>
      </c>
      <c r="H19">
        <v>2030</v>
      </c>
      <c r="I19">
        <f>I14</f>
        <v>2050</v>
      </c>
      <c r="K19">
        <v>2010</v>
      </c>
      <c r="L19">
        <f>K19+1</f>
        <v>2011</v>
      </c>
      <c r="M19">
        <f t="shared" ref="M19:U19" si="508">L19+1</f>
        <v>2012</v>
      </c>
      <c r="N19">
        <f t="shared" si="508"/>
        <v>2013</v>
      </c>
      <c r="O19">
        <f t="shared" si="508"/>
        <v>2014</v>
      </c>
      <c r="P19">
        <f t="shared" si="508"/>
        <v>2015</v>
      </c>
      <c r="Q19">
        <f t="shared" si="508"/>
        <v>2016</v>
      </c>
      <c r="R19">
        <f t="shared" si="508"/>
        <v>2017</v>
      </c>
      <c r="S19">
        <f t="shared" si="508"/>
        <v>2018</v>
      </c>
      <c r="T19">
        <f t="shared" si="508"/>
        <v>2019</v>
      </c>
      <c r="U19">
        <f t="shared" si="508"/>
        <v>2020</v>
      </c>
      <c r="V19">
        <f t="shared" ref="V19:AF19" si="509">U19+1</f>
        <v>2021</v>
      </c>
      <c r="W19">
        <f t="shared" si="509"/>
        <v>2022</v>
      </c>
      <c r="X19">
        <f t="shared" si="509"/>
        <v>2023</v>
      </c>
      <c r="Y19">
        <f t="shared" si="509"/>
        <v>2024</v>
      </c>
      <c r="Z19">
        <f t="shared" si="509"/>
        <v>2025</v>
      </c>
      <c r="AA19">
        <f t="shared" si="509"/>
        <v>2026</v>
      </c>
      <c r="AB19">
        <f t="shared" si="509"/>
        <v>2027</v>
      </c>
      <c r="AC19">
        <f t="shared" si="509"/>
        <v>2028</v>
      </c>
      <c r="AD19">
        <f t="shared" si="509"/>
        <v>2029</v>
      </c>
      <c r="AE19">
        <f t="shared" si="509"/>
        <v>2030</v>
      </c>
      <c r="AF19">
        <f t="shared" si="509"/>
        <v>2031</v>
      </c>
      <c r="AG19">
        <v>2040</v>
      </c>
      <c r="AH19">
        <v>2050</v>
      </c>
      <c r="AL19">
        <f>E19</f>
        <v>2010</v>
      </c>
      <c r="AM19">
        <f>G19</f>
        <v>2020</v>
      </c>
      <c r="AN19">
        <f>H19</f>
        <v>2030</v>
      </c>
      <c r="AO19">
        <f>I19</f>
        <v>2050</v>
      </c>
      <c r="AQ19">
        <v>2010</v>
      </c>
      <c r="AR19">
        <f>AQ19+1</f>
        <v>2011</v>
      </c>
      <c r="AS19">
        <f t="shared" ref="AS19:BL19" si="510">AR19+1</f>
        <v>2012</v>
      </c>
      <c r="AT19">
        <f t="shared" si="510"/>
        <v>2013</v>
      </c>
      <c r="AU19">
        <f t="shared" si="510"/>
        <v>2014</v>
      </c>
      <c r="AV19">
        <f t="shared" si="510"/>
        <v>2015</v>
      </c>
      <c r="AW19">
        <f t="shared" si="510"/>
        <v>2016</v>
      </c>
      <c r="AX19">
        <f t="shared" si="510"/>
        <v>2017</v>
      </c>
      <c r="AY19">
        <f t="shared" si="510"/>
        <v>2018</v>
      </c>
      <c r="AZ19">
        <f t="shared" si="510"/>
        <v>2019</v>
      </c>
      <c r="BA19">
        <f t="shared" si="510"/>
        <v>2020</v>
      </c>
      <c r="BB19">
        <f t="shared" si="510"/>
        <v>2021</v>
      </c>
      <c r="BC19">
        <f t="shared" si="510"/>
        <v>2022</v>
      </c>
      <c r="BD19">
        <f t="shared" si="510"/>
        <v>2023</v>
      </c>
      <c r="BE19">
        <f t="shared" si="510"/>
        <v>2024</v>
      </c>
      <c r="BF19">
        <f t="shared" si="510"/>
        <v>2025</v>
      </c>
      <c r="BG19">
        <f t="shared" si="510"/>
        <v>2026</v>
      </c>
      <c r="BH19">
        <f t="shared" si="510"/>
        <v>2027</v>
      </c>
      <c r="BI19">
        <f t="shared" si="510"/>
        <v>2028</v>
      </c>
      <c r="BJ19">
        <f t="shared" si="510"/>
        <v>2029</v>
      </c>
      <c r="BK19">
        <f t="shared" si="510"/>
        <v>2030</v>
      </c>
      <c r="BL19">
        <f t="shared" si="510"/>
        <v>2031</v>
      </c>
      <c r="BM19">
        <v>2040</v>
      </c>
      <c r="BN19">
        <v>2050</v>
      </c>
      <c r="BP19">
        <f>AQ19</f>
        <v>2010</v>
      </c>
      <c r="BQ19">
        <f t="shared" ref="BQ19" si="511">AR19</f>
        <v>2011</v>
      </c>
      <c r="BR19">
        <f t="shared" ref="BR19" si="512">AS19</f>
        <v>2012</v>
      </c>
      <c r="BS19">
        <f t="shared" ref="BS19" si="513">AT19</f>
        <v>2013</v>
      </c>
      <c r="BT19">
        <f t="shared" ref="BT19" si="514">AU19</f>
        <v>2014</v>
      </c>
      <c r="BU19">
        <f t="shared" ref="BU19" si="515">AV19</f>
        <v>2015</v>
      </c>
      <c r="BV19">
        <f t="shared" ref="BV19" si="516">AW19</f>
        <v>2016</v>
      </c>
      <c r="BW19">
        <f t="shared" ref="BW19" si="517">AX19</f>
        <v>2017</v>
      </c>
      <c r="BX19">
        <f t="shared" ref="BX19" si="518">AY19</f>
        <v>2018</v>
      </c>
      <c r="BY19">
        <f t="shared" ref="BY19" si="519">AZ19</f>
        <v>2019</v>
      </c>
      <c r="BZ19">
        <f t="shared" ref="BZ19" si="520">BA19</f>
        <v>2020</v>
      </c>
      <c r="CA19">
        <f t="shared" ref="CA19" si="521">BB19</f>
        <v>2021</v>
      </c>
      <c r="CB19">
        <f t="shared" ref="CB19" si="522">BC19</f>
        <v>2022</v>
      </c>
      <c r="CC19">
        <f t="shared" ref="CC19" si="523">BD19</f>
        <v>2023</v>
      </c>
      <c r="CD19">
        <f t="shared" ref="CD19" si="524">BE19</f>
        <v>2024</v>
      </c>
      <c r="CE19">
        <f t="shared" ref="CE19" si="525">BF19</f>
        <v>2025</v>
      </c>
      <c r="CF19">
        <f t="shared" ref="CF19" si="526">BG19</f>
        <v>2026</v>
      </c>
      <c r="CG19">
        <f t="shared" ref="CG19" si="527">BH19</f>
        <v>2027</v>
      </c>
      <c r="CH19">
        <f t="shared" ref="CH19" si="528">BI19</f>
        <v>2028</v>
      </c>
      <c r="CI19">
        <f t="shared" ref="CI19" si="529">BJ19</f>
        <v>2029</v>
      </c>
      <c r="CJ19">
        <f t="shared" ref="CJ19" si="530">BK19</f>
        <v>2030</v>
      </c>
      <c r="CK19">
        <f t="shared" ref="CK19" si="531">BL19</f>
        <v>2031</v>
      </c>
      <c r="CL19">
        <f t="shared" ref="CL19" si="532">BM19</f>
        <v>2040</v>
      </c>
      <c r="CM19">
        <f t="shared" ref="CM19" si="533">BN19</f>
        <v>2050</v>
      </c>
      <c r="CO19">
        <f>BP19</f>
        <v>2010</v>
      </c>
      <c r="CP19">
        <f t="shared" ref="CP19" si="534">BQ19</f>
        <v>2011</v>
      </c>
      <c r="CQ19">
        <f t="shared" ref="CQ19" si="535">BR19</f>
        <v>2012</v>
      </c>
      <c r="CR19">
        <f t="shared" ref="CR19" si="536">BS19</f>
        <v>2013</v>
      </c>
      <c r="CS19">
        <f t="shared" ref="CS19" si="537">BT19</f>
        <v>2014</v>
      </c>
      <c r="CT19">
        <f t="shared" ref="CT19" si="538">BU19</f>
        <v>2015</v>
      </c>
      <c r="CU19">
        <f t="shared" ref="CU19" si="539">BV19</f>
        <v>2016</v>
      </c>
      <c r="CV19">
        <f t="shared" ref="CV19" si="540">BW19</f>
        <v>2017</v>
      </c>
      <c r="CW19">
        <f t="shared" ref="CW19" si="541">BX19</f>
        <v>2018</v>
      </c>
      <c r="CX19">
        <f t="shared" ref="CX19" si="542">BY19</f>
        <v>2019</v>
      </c>
      <c r="CY19">
        <f t="shared" ref="CY19" si="543">BZ19</f>
        <v>2020</v>
      </c>
      <c r="CZ19">
        <f t="shared" ref="CZ19" si="544">CA19</f>
        <v>2021</v>
      </c>
      <c r="DA19">
        <f t="shared" ref="DA19" si="545">CB19</f>
        <v>2022</v>
      </c>
      <c r="DB19">
        <f t="shared" ref="DB19" si="546">CC19</f>
        <v>2023</v>
      </c>
      <c r="DC19">
        <f t="shared" ref="DC19" si="547">CD19</f>
        <v>2024</v>
      </c>
      <c r="DD19">
        <f t="shared" ref="DD19" si="548">CE19</f>
        <v>2025</v>
      </c>
      <c r="DE19">
        <f>CF19</f>
        <v>2026</v>
      </c>
      <c r="DF19">
        <f t="shared" ref="DF19" si="549">CG19</f>
        <v>2027</v>
      </c>
      <c r="DG19">
        <f t="shared" ref="DG19" si="550">CH19</f>
        <v>2028</v>
      </c>
      <c r="DH19">
        <f>CI19</f>
        <v>2029</v>
      </c>
      <c r="DI19">
        <f t="shared" ref="DI19" si="551">CJ19</f>
        <v>2030</v>
      </c>
      <c r="DJ19">
        <f>CK19</f>
        <v>2031</v>
      </c>
      <c r="DK19">
        <f>CL19</f>
        <v>2040</v>
      </c>
      <c r="DL19">
        <f t="shared" ref="DL19" si="552">CM19</f>
        <v>2050</v>
      </c>
    </row>
    <row r="20" spans="1:141" x14ac:dyDescent="0.25">
      <c r="A20" t="str">
        <f t="shared" si="20"/>
        <v>Heavy IndustryGUI</v>
      </c>
      <c r="B20" t="str">
        <f t="shared" ref="B20:B22" si="553">B15</f>
        <v>Heavy Industry</v>
      </c>
      <c r="C20" t="str">
        <f>IFERROR(VLOOKUP(D20,'For model'!$B$4:$C$16,2,FALSE),C19)</f>
        <v>GUI</v>
      </c>
      <c r="D20" t="s">
        <v>533</v>
      </c>
      <c r="E20" s="72">
        <v>0</v>
      </c>
      <c r="F20" s="72">
        <f>G20/2</f>
        <v>0.33724999999999999</v>
      </c>
      <c r="G20" s="72">
        <f>71%*95%</f>
        <v>0.67449999999999999</v>
      </c>
      <c r="H20" s="72">
        <f>69%*90%</f>
        <v>0.621</v>
      </c>
      <c r="I20" s="72">
        <f>69%*90%</f>
        <v>0.621</v>
      </c>
      <c r="K20" s="72">
        <f>E20</f>
        <v>0</v>
      </c>
      <c r="L20" s="72">
        <f>($P20-$K20)/($P$4-$K$4)+K20</f>
        <v>6.7449999999999996E-2</v>
      </c>
      <c r="M20" s="72">
        <f t="shared" ref="M20:O20" si="554">($P20-$K20)/($P$4-$K$4)+L20</f>
        <v>0.13489999999999999</v>
      </c>
      <c r="N20" s="72">
        <f t="shared" si="554"/>
        <v>0.20234999999999997</v>
      </c>
      <c r="O20" s="72">
        <f t="shared" si="554"/>
        <v>0.26979999999999998</v>
      </c>
      <c r="P20" s="72">
        <f>F20</f>
        <v>0.33724999999999999</v>
      </c>
      <c r="Q20" s="72">
        <f>($U20-$P20)/($U$4-$P$4)+P20</f>
        <v>0.4047</v>
      </c>
      <c r="R20" s="72">
        <f t="shared" ref="R20:T20" si="555">($U20-$P20)/($U$4-$P$4)+Q20</f>
        <v>0.47215000000000001</v>
      </c>
      <c r="S20" s="72">
        <f t="shared" si="555"/>
        <v>0.53959999999999997</v>
      </c>
      <c r="T20" s="72">
        <f t="shared" si="555"/>
        <v>0.60704999999999998</v>
      </c>
      <c r="U20" s="72">
        <f>G20</f>
        <v>0.67449999999999999</v>
      </c>
      <c r="V20" s="72">
        <f>(AE20-U20)/(AE$4-U$4)+U20</f>
        <v>0.66915000000000002</v>
      </c>
      <c r="W20" s="72">
        <f>(AE20-U20)/(AE$4-U$4)+V20</f>
        <v>0.66380000000000006</v>
      </c>
      <c r="X20" s="72">
        <f>(AE20-U20)/(AE$4-U$4)+W20</f>
        <v>0.65845000000000009</v>
      </c>
      <c r="Y20" s="72">
        <f>(AE20-U20)/(AE$4-U$4)+X20</f>
        <v>0.65310000000000012</v>
      </c>
      <c r="Z20" s="72">
        <f>(AE20-U20)/(AE$4-U$4)+Y20</f>
        <v>0.64775000000000016</v>
      </c>
      <c r="AA20" s="72">
        <f>(AE20-U20)/(AE$4-U$4)+Z20</f>
        <v>0.64240000000000019</v>
      </c>
      <c r="AB20" s="72">
        <f>(AE20-U20)/(AE$4-U$4)+AA20</f>
        <v>0.63705000000000023</v>
      </c>
      <c r="AC20" s="72">
        <f>(AE20-U20)/(AE$4-U$4)+AB20</f>
        <v>0.63170000000000026</v>
      </c>
      <c r="AD20" s="72">
        <f>(AE20-U20)/(AE$4-U$4)+AC20</f>
        <v>0.6263500000000003</v>
      </c>
      <c r="AE20" s="72">
        <f>H20</f>
        <v>0.621</v>
      </c>
      <c r="AF20" s="72">
        <f>(AH20-AE20)/(AH$4-AE$4)+AE20</f>
        <v>0.621</v>
      </c>
      <c r="AG20" s="72">
        <f>(AE20+AH20)/2</f>
        <v>0.621</v>
      </c>
      <c r="AH20" s="72">
        <f>I20</f>
        <v>0.621</v>
      </c>
      <c r="AJ20" s="115">
        <f ca="1">SUMIF(SourceData!$Y$3:$AK$3,$C19,SourceData!$Y$1:$AK$1)</f>
        <v>0.34</v>
      </c>
      <c r="AK20" s="72">
        <v>0.05</v>
      </c>
      <c r="AL20" s="94">
        <v>0.02</v>
      </c>
      <c r="AM20" s="72">
        <f>AL20</f>
        <v>0.02</v>
      </c>
      <c r="AN20" s="72">
        <v>0</v>
      </c>
      <c r="AO20" s="72">
        <v>0</v>
      </c>
      <c r="AP20" s="118" t="str">
        <f>AQ20&amp;" "&amp;AR20&amp;" "&amp;AS20&amp;" "&amp;AT20&amp;" "&amp;AU20&amp;" "&amp;AV20&amp;" "&amp;AW20&amp;" "&amp;AX20&amp;" "&amp;AY20&amp;" "&amp;AZ20&amp;" "&amp;BA20&amp;" "&amp;BB20&amp;" "&amp;BC20&amp;" "&amp;BD20&amp;" "&amp;BE20&amp;" "&amp;BF20&amp;" "&amp;BG20&amp;" "&amp;BH20&amp;" "&amp;BI20&amp;" "&amp;BJ20&amp;" "&amp;BK20&amp;" "&amp;BL20&amp;" "&amp;BM20&amp;" "&amp;BN20&amp;" "</f>
        <v xml:space="preserve">0.02 0.02 0.02 0.02 0.02 0.02 0.02 0.02 0.02 0.02 0.02 0.018 0.016 0.014 0.012 0.01 0.008 0.006 0.004 0.002 0 0 0 0 </v>
      </c>
      <c r="AQ20" s="72">
        <f>AL20</f>
        <v>0.02</v>
      </c>
      <c r="AR20" s="72">
        <f>(BA20-AQ20)/(BA$4-AQ$4)+AQ20</f>
        <v>0.02</v>
      </c>
      <c r="AS20" s="72">
        <f>(BA20-AQ20)/(BA$4-AQ$4)+AR20</f>
        <v>0.02</v>
      </c>
      <c r="AT20" s="72">
        <f>(BA20-AQ20)/(BA$4-AQ$4)+AS20</f>
        <v>0.02</v>
      </c>
      <c r="AU20" s="72">
        <f>(BA20-AQ20)/(BA$4-AQ$4)+AT20</f>
        <v>0.02</v>
      </c>
      <c r="AV20" s="72">
        <f>(BA20-AQ20)/(BA$4-AQ$4)+AU20</f>
        <v>0.02</v>
      </c>
      <c r="AW20" s="72">
        <f>(BA20-AQ20)/(BA$4-AQ$4)+AV20</f>
        <v>0.02</v>
      </c>
      <c r="AX20" s="72">
        <f>(BA20-AQ20)/(BA$4-AQ$4)+AW20</f>
        <v>0.02</v>
      </c>
      <c r="AY20" s="72">
        <f>(BA20-AQ20)/(BA$4-AQ$4)+AX20</f>
        <v>0.02</v>
      </c>
      <c r="AZ20" s="72">
        <f>(BA20-AQ20)/(BA$4-AQ$4)+AY20</f>
        <v>0.02</v>
      </c>
      <c r="BA20" s="72">
        <f>AM20</f>
        <v>0.02</v>
      </c>
      <c r="BB20" s="72">
        <f>(BK20-BA20)/(BK$4-BA$4)+BA20</f>
        <v>1.8000000000000002E-2</v>
      </c>
      <c r="BC20" s="72">
        <f>(BK20-BA20)/(BK$4-BA$4)+BB20</f>
        <v>1.6E-2</v>
      </c>
      <c r="BD20" s="72">
        <f>(BK20-BA20)/(BK$4-BA$4)+BC20</f>
        <v>1.4E-2</v>
      </c>
      <c r="BE20" s="72">
        <f>(BK20-BA20)/(BK$4-BA$4)+BD20</f>
        <v>1.2E-2</v>
      </c>
      <c r="BF20" s="72">
        <f>(BK20-BA20)/(BK$4-BA$4)+BE20</f>
        <v>0.01</v>
      </c>
      <c r="BG20" s="72">
        <f>(BK20-BA20)/(BK$4-BA$4)+BF20</f>
        <v>8.0000000000000002E-3</v>
      </c>
      <c r="BH20" s="72">
        <f>(BK20-BA20)/(BK$4-BA$4)+BG20</f>
        <v>6.0000000000000001E-3</v>
      </c>
      <c r="BI20" s="72">
        <f>(BK20-BA20)/(BK$4-BA$4)+BH20</f>
        <v>4.0000000000000001E-3</v>
      </c>
      <c r="BJ20" s="72">
        <f>(BK20-BA20)/(BK$4-BA$4)+BI20</f>
        <v>2E-3</v>
      </c>
      <c r="BK20" s="72">
        <f>AN20</f>
        <v>0</v>
      </c>
      <c r="BL20" s="72">
        <f>(BN20-BK20)/(BN$4-BK$4)+BK20</f>
        <v>0</v>
      </c>
      <c r="BM20" s="72">
        <f>(BK20+BN20)/2</f>
        <v>0</v>
      </c>
      <c r="BN20" s="72">
        <f>AO20</f>
        <v>0</v>
      </c>
      <c r="BO20">
        <f>SUMIF(SourceData!$BD$3:$BP$3,$C19,SourceData!$BD$1:$BP$1)</f>
        <v>1</v>
      </c>
      <c r="BP20" s="84">
        <f ca="1">IF($BO20,OFFSET(SourceData!$BC$4,MATCH(BP19,SourceData!$BC$5:$BC$28,0),MATCH($C23,SourceData!$BD$3:$BP$3,0)),K20*K23)</f>
        <v>0</v>
      </c>
      <c r="BQ20" s="84">
        <f ca="1">IF($BO20,OFFSET(SourceData!$BC$4,MATCH(BQ19,SourceData!$BC$5:$BC$28,0),MATCH($C23,SourceData!$BD$3:$BP$3,0)),L20*L23)</f>
        <v>0</v>
      </c>
      <c r="BR20" s="84">
        <f ca="1">IF($BO20,OFFSET(SourceData!$BC$4,MATCH(BR19,SourceData!$BC$5:$BC$28,0),MATCH($C23,SourceData!$BD$3:$BP$3,0)),M20*M23)</f>
        <v>0</v>
      </c>
      <c r="BS20" s="84">
        <f ca="1">IF($BO20,OFFSET(SourceData!$BC$4,MATCH(BS19,SourceData!$BC$5:$BC$28,0),MATCH($C23,SourceData!$BD$3:$BP$3,0)),N20*N23)</f>
        <v>0</v>
      </c>
      <c r="BT20" s="84">
        <f ca="1">IF($BO20,OFFSET(SourceData!$BC$4,MATCH(BT19,SourceData!$BC$5:$BC$28,0),MATCH($C23,SourceData!$BD$3:$BP$3,0)),O20*O23)</f>
        <v>0</v>
      </c>
      <c r="BU20" s="84">
        <f ca="1">IF($BO20,OFFSET(SourceData!$BC$4,MATCH(BU19,SourceData!$BC$5:$BC$28,0),MATCH($C23,SourceData!$BD$3:$BP$3,0)),P20*P23)</f>
        <v>0</v>
      </c>
      <c r="BV20" s="84">
        <f ca="1">IF($BO20,OFFSET(SourceData!$BC$4,MATCH(BV19,SourceData!$BC$5:$BC$28,0),MATCH($C23,SourceData!$BD$3:$BP$3,0)),Q20*Q23)</f>
        <v>2643</v>
      </c>
      <c r="BW20" s="84">
        <f ca="1">IF($BO20,OFFSET(SourceData!$BC$4,MATCH(BW19,SourceData!$BC$5:$BC$28,0),MATCH($C23,SourceData!$BD$3:$BP$3,0)),R20*R23)</f>
        <v>2682</v>
      </c>
      <c r="BX20" s="84">
        <f ca="1">IF($BO20,OFFSET(SourceData!$BC$4,MATCH(BX19,SourceData!$BC$5:$BC$28,0),MATCH($C23,SourceData!$BD$3:$BP$3,0)),S20*S23)</f>
        <v>2723</v>
      </c>
      <c r="BY20" s="84">
        <f ca="1">IF($BO20,OFFSET(SourceData!$BC$4,MATCH(BY19,SourceData!$BC$5:$BC$28,0),MATCH($C23,SourceData!$BD$3:$BP$3,0)),T20*T23)</f>
        <v>4864</v>
      </c>
      <c r="BZ20" s="84">
        <f ca="1">IF($BO20,OFFSET(SourceData!$BC$4,MATCH(BZ19,SourceData!$BC$5:$BC$28,0),MATCH($C23,SourceData!$BD$3:$BP$3,0)),U20*U23)</f>
        <v>4936</v>
      </c>
      <c r="CA20" s="84">
        <f ca="1">IF($BO20,OFFSET(SourceData!$BC$4,MATCH(CA19,SourceData!$BC$5:$BC$28,0),MATCH($C23,SourceData!$BD$3:$BP$3,0)),V20*V23)</f>
        <v>5011</v>
      </c>
      <c r="CB20" s="84">
        <f ca="1">IF($BO20,OFFSET(SourceData!$BC$4,MATCH(CB19,SourceData!$BC$5:$BC$28,0),MATCH($C23,SourceData!$BD$3:$BP$3,0)),W20*W23)</f>
        <v>5086</v>
      </c>
      <c r="CC20" s="84">
        <f ca="1">IF($BO20,OFFSET(SourceData!$BC$4,MATCH(CC19,SourceData!$BC$5:$BC$28,0),MATCH($C23,SourceData!$BD$3:$BP$3,0)),X20*X23)</f>
        <v>5162</v>
      </c>
      <c r="CD20" s="84">
        <f ca="1">IF($BO20,OFFSET(SourceData!$BC$4,MATCH(CD19,SourceData!$BC$5:$BC$28,0),MATCH($C23,SourceData!$BD$3:$BP$3,0)),Y20*Y23)</f>
        <v>5239</v>
      </c>
      <c r="CE20" s="84">
        <f ca="1">IF($BO20,OFFSET(SourceData!$BC$4,MATCH(CE19,SourceData!$BC$5:$BC$28,0),MATCH($C23,SourceData!$BD$3:$BP$3,0)),Z20*Z23)</f>
        <v>5318</v>
      </c>
      <c r="CF20" s="84">
        <f ca="1">IF($BO20,OFFSET(SourceData!$BC$4,MATCH(CF19,SourceData!$BC$5:$BC$28,0),MATCH($C23,SourceData!$BD$3:$BP$3,0)),AA20*AA23)</f>
        <v>5392.333333333343</v>
      </c>
      <c r="CG20" s="84">
        <f ca="1">IF($BO20,OFFSET(SourceData!$BC$4,MATCH(CG19,SourceData!$BC$5:$BC$28,0),MATCH($C23,SourceData!$BD$3:$BP$3,0)),AB20*AB23)</f>
        <v>5469.3555555555504</v>
      </c>
      <c r="CH20" s="84">
        <f ca="1">IF($BO20,OFFSET(SourceData!$BC$4,MATCH(CH19,SourceData!$BC$5:$BC$28,0),MATCH($C23,SourceData!$BD$3:$BP$3,0)),AC20*AC23)</f>
        <v>5546.4592592592526</v>
      </c>
      <c r="CI20" s="84">
        <f ca="1">IF($BO20,OFFSET(SourceData!$BC$4,MATCH(CI19,SourceData!$BC$5:$BC$28,0),MATCH($C23,SourceData!$BD$3:$BP$3,0)),AD20*AD23)</f>
        <v>5623.2943209876539</v>
      </c>
      <c r="CJ20" s="84">
        <f ca="1">IF($BO20,OFFSET(SourceData!$BC$4,MATCH(CJ19,SourceData!$BC$5:$BC$28,0),MATCH($C23,SourceData!$BD$3:$BP$3,0)),AE20*AE23)</f>
        <v>5697.4761904761835</v>
      </c>
      <c r="CK20" s="84">
        <f ca="1">IF($BO20,OFFSET(SourceData!$BC$4,MATCH(CK19,SourceData!$BC$5:$BC$28,0),MATCH($C23,SourceData!$BD$3:$BP$3,0)),AF20*AF23)</f>
        <v>5775.6031746031658</v>
      </c>
      <c r="CL20" s="84">
        <f ca="1">IF($BO20,OFFSET(SourceData!$BC$4,MATCH(CL19,SourceData!$BC$5:$BC$28,0),MATCH($C23,SourceData!$BD$3:$BP$3,0)),AG20*AG23)</f>
        <v>6464.1410340441216</v>
      </c>
      <c r="CM20" s="84">
        <f ca="1">IF($BO20,OFFSET(SourceData!$BC$4,MATCH(CM19,SourceData!$BC$5:$BC$28,0),MATCH($C23,SourceData!$BD$3:$BP$3,0)),AH20*AH23)</f>
        <v>7229.9493679324223</v>
      </c>
      <c r="CN20" s="118" t="str">
        <f t="shared" ref="CN20:CN22" ca="1" si="556">CO20&amp;" "&amp;CP20&amp;" "&amp;CQ20&amp;" "&amp;CR20&amp;" "&amp;CS20&amp;" "&amp;CT20&amp;" "&amp;CU20&amp;" "&amp;CV20&amp;" "&amp;CW20&amp;" "&amp;CX20&amp;" "&amp;CY20&amp;" "&amp;CZ20&amp;" "&amp;DA20&amp;" "&amp;DB20&amp;" "&amp;DC20&amp;" "&amp;DD20&amp;" "&amp;DE20&amp;" "&amp;DF20&amp;" "&amp;DG20&amp;" "&amp;DH20&amp;" "&amp;DI20&amp;" "&amp;DJ20&amp;" "&amp;DK20&amp;" "&amp;DL20&amp;" "</f>
        <v xml:space="preserve">0 0 0 0 0 0 280.9 285 289.4 516.9 524.6 533.6 542.7 552 561.3 571 580.1 589.6 599.1 608.6 617.9 626.3 701 784.1 </v>
      </c>
      <c r="CO20" s="117">
        <f ca="1">ROUND(BP20*(1-AQ20)*(1-$AK20)/8.76,1)</f>
        <v>0</v>
      </c>
      <c r="CP20" s="117">
        <f t="shared" ref="CP20:CP22" ca="1" si="557">ROUND(BQ20*(1-AR20)*(1-$AK20)/8.76,1)</f>
        <v>0</v>
      </c>
      <c r="CQ20" s="117">
        <f t="shared" ref="CQ20:CQ22" ca="1" si="558">ROUND(BR20*(1-AS20)*(1-$AK20)/8.76,1)</f>
        <v>0</v>
      </c>
      <c r="CR20" s="117">
        <f t="shared" ref="CR20:CR22" ca="1" si="559">ROUND(BS20*(1-AT20)*(1-$AK20)/8.76,1)</f>
        <v>0</v>
      </c>
      <c r="CS20" s="117">
        <f t="shared" ref="CS20:CS22" ca="1" si="560">ROUND(BT20*(1-AU20)*(1-$AK20)/8.76,1)</f>
        <v>0</v>
      </c>
      <c r="CT20" s="117">
        <f t="shared" ref="CT20:CT22" ca="1" si="561">ROUND(BU20*(1-AV20)*(1-$AK20)/8.76,1)</f>
        <v>0</v>
      </c>
      <c r="CU20" s="117">
        <f t="shared" ref="CU20:CU22" ca="1" si="562">ROUND(BV20*(1-AW20)*(1-$AK20)/8.76,1)</f>
        <v>280.89999999999998</v>
      </c>
      <c r="CV20" s="117">
        <f t="shared" ref="CV20:CV22" ca="1" si="563">ROUND(BW20*(1-AX20)*(1-$AK20)/8.76,1)</f>
        <v>285</v>
      </c>
      <c r="CW20" s="117">
        <f t="shared" ref="CW20:CW22" ca="1" si="564">ROUND(BX20*(1-AY20)*(1-$AK20)/8.76,1)</f>
        <v>289.39999999999998</v>
      </c>
      <c r="CX20" s="117">
        <f t="shared" ref="CX20:CX22" ca="1" si="565">ROUND(BY20*(1-AZ20)*(1-$AK20)/8.76,1)</f>
        <v>516.9</v>
      </c>
      <c r="CY20" s="117">
        <f t="shared" ref="CY20:CY22" ca="1" si="566">ROUND(BZ20*(1-BA20)*(1-$AK20)/8.76,1)</f>
        <v>524.6</v>
      </c>
      <c r="CZ20" s="117">
        <f t="shared" ref="CZ20:CZ22" ca="1" si="567">ROUND(CA20*(1-BB20)*(1-$AK20)/8.76,1)</f>
        <v>533.6</v>
      </c>
      <c r="DA20" s="117">
        <f t="shared" ref="DA20:DA22" ca="1" si="568">ROUND(CB20*(1-BC20)*(1-$AK20)/8.76,1)</f>
        <v>542.70000000000005</v>
      </c>
      <c r="DB20" s="117">
        <f t="shared" ref="DB20:DB22" ca="1" si="569">ROUND(CC20*(1-BD20)*(1-$AK20)/8.76,1)</f>
        <v>552</v>
      </c>
      <c r="DC20" s="117">
        <f t="shared" ref="DC20:DC22" ca="1" si="570">ROUND(CD20*(1-BE20)*(1-$AK20)/8.76,1)</f>
        <v>561.29999999999995</v>
      </c>
      <c r="DD20" s="117">
        <f t="shared" ref="DD20:DD22" ca="1" si="571">ROUND(CE20*(1-BF20)*(1-$AK20)/8.76,1)</f>
        <v>571</v>
      </c>
      <c r="DE20" s="117">
        <f ca="1">ROUND(CF20*(1-BG20)*(1-$AK20)/8.76,1)</f>
        <v>580.1</v>
      </c>
      <c r="DF20" s="117">
        <f t="shared" ref="DF20:DF22" ca="1" si="572">ROUND(CG20*(1-BH20)*(1-$AK20)/8.76,1)</f>
        <v>589.6</v>
      </c>
      <c r="DG20" s="117">
        <f t="shared" ref="DG20:DG22" ca="1" si="573">ROUND(CH20*(1-BI20)*(1-$AK20)/8.76,1)</f>
        <v>599.1</v>
      </c>
      <c r="DH20" s="117">
        <f ca="1">ROUND(CI20*(1-BJ20)*(1-$AK20)/8.76,1)</f>
        <v>608.6</v>
      </c>
      <c r="DI20" s="117">
        <f t="shared" ref="DI20:DI22" ca="1" si="574">ROUND(CJ20*(1-BK20)*(1-$AK20)/8.76,1)</f>
        <v>617.9</v>
      </c>
      <c r="DJ20" s="117">
        <f ca="1">ROUND(CK20*(1-BL20)*(1-$AK20)/8.76,1)</f>
        <v>626.29999999999995</v>
      </c>
      <c r="DK20" s="117">
        <f ca="1">ROUND(CL20*(1-BM20)*(1-$AK20)/8.76,1)</f>
        <v>701</v>
      </c>
      <c r="DL20" s="117">
        <f t="shared" ref="DL20:DL22" ca="1" si="575">ROUND(CM20*(1-BN20)*(1-$AK20)/8.76,1)</f>
        <v>784.1</v>
      </c>
      <c r="DM20" s="118" t="str">
        <f t="shared" ref="DM20:DM22" si="576">DN20&amp;" "&amp;DO20&amp;" "&amp;DP20&amp;" "&amp;DQ20&amp;" "&amp;DR20&amp;" "&amp;DS20&amp;" "&amp;DT20&amp;" "&amp;DU20&amp;" "&amp;DV20&amp;" "&amp;DW20&amp;" "&amp;DX20&amp;" "&amp;DY20&amp;" "&amp;DZ20&amp;" "&amp;EA20&amp;" "&amp;EB20&amp;" "&amp;EC20&amp;" "&amp;ED20&amp;" "&amp;EE20&amp;" "&amp;EF20&amp;" "&amp;EG20&amp;" "&amp;EH20&amp;" "&amp;EI20&amp;" "&amp;EJ20&amp;" "&amp;EK20&amp;" "</f>
        <v xml:space="preserve">0.98 0.98 0.98 0.98 0.98 0.98 0.98 0.98 0.98 0.98 0.98 0.982 0.984 0.986 0.988 0.99 0.992 0.994 0.996 0.998 1 1 1 1 </v>
      </c>
      <c r="DN20" s="72">
        <f>1-AQ20</f>
        <v>0.98</v>
      </c>
      <c r="DO20" s="72">
        <f t="shared" ref="DO20:DO22" si="577">1-AR20</f>
        <v>0.98</v>
      </c>
      <c r="DP20" s="72">
        <f t="shared" ref="DP20:DP22" si="578">1-AS20</f>
        <v>0.98</v>
      </c>
      <c r="DQ20" s="72">
        <f t="shared" ref="DQ20:DQ22" si="579">1-AT20</f>
        <v>0.98</v>
      </c>
      <c r="DR20" s="72">
        <f t="shared" ref="DR20:DR22" si="580">1-AU20</f>
        <v>0.98</v>
      </c>
      <c r="DS20" s="72">
        <f t="shared" ref="DS20:DS22" si="581">1-AV20</f>
        <v>0.98</v>
      </c>
      <c r="DT20" s="72">
        <f t="shared" ref="DT20:DT22" si="582">1-AW20</f>
        <v>0.98</v>
      </c>
      <c r="DU20" s="72">
        <f t="shared" ref="DU20:DU22" si="583">1-AX20</f>
        <v>0.98</v>
      </c>
      <c r="DV20" s="72">
        <f t="shared" ref="DV20:DV22" si="584">1-AY20</f>
        <v>0.98</v>
      </c>
      <c r="DW20" s="72">
        <f t="shared" ref="DW20:DW22" si="585">1-AZ20</f>
        <v>0.98</v>
      </c>
      <c r="DX20" s="72">
        <f t="shared" ref="DX20:DX22" si="586">1-BA20</f>
        <v>0.98</v>
      </c>
      <c r="DY20" s="72">
        <f t="shared" ref="DY20:DY22" si="587">1-BB20</f>
        <v>0.98199999999999998</v>
      </c>
      <c r="DZ20" s="72">
        <f t="shared" ref="DZ20:DZ22" si="588">1-BC20</f>
        <v>0.98399999999999999</v>
      </c>
      <c r="EA20" s="72">
        <f t="shared" ref="EA20:EA22" si="589">1-BD20</f>
        <v>0.98599999999999999</v>
      </c>
      <c r="EB20" s="72">
        <f t="shared" ref="EB20:EB22" si="590">1-BE20</f>
        <v>0.98799999999999999</v>
      </c>
      <c r="EC20" s="72">
        <f t="shared" ref="EC20:EC22" si="591">1-BF20</f>
        <v>0.99</v>
      </c>
      <c r="ED20" s="72">
        <f t="shared" ref="ED20:ED22" si="592">1-BG20</f>
        <v>0.99199999999999999</v>
      </c>
      <c r="EE20" s="72">
        <f t="shared" ref="EE20:EE22" si="593">1-BH20</f>
        <v>0.99399999999999999</v>
      </c>
      <c r="EF20" s="72">
        <f t="shared" ref="EF20:EF22" si="594">1-BI20</f>
        <v>0.996</v>
      </c>
      <c r="EG20" s="72">
        <f t="shared" ref="EG20:EG22" si="595">1-BJ20</f>
        <v>0.998</v>
      </c>
      <c r="EH20" s="72">
        <f t="shared" ref="EH20:EH22" si="596">1-BK20</f>
        <v>1</v>
      </c>
      <c r="EI20" s="72">
        <f t="shared" ref="EI20:EI22" si="597">1-BL20</f>
        <v>1</v>
      </c>
      <c r="EJ20" s="72">
        <f t="shared" ref="EJ20:EJ22" si="598">1-BM20</f>
        <v>1</v>
      </c>
      <c r="EK20" s="72">
        <f t="shared" ref="EK20:EK22" si="599">1-BN20</f>
        <v>1</v>
      </c>
    </row>
    <row r="21" spans="1:141" x14ac:dyDescent="0.25">
      <c r="A21" t="str">
        <f t="shared" si="20"/>
        <v>UrbanGUI</v>
      </c>
      <c r="B21" t="str">
        <f t="shared" si="553"/>
        <v>Urban</v>
      </c>
      <c r="C21" t="str">
        <f>IFERROR(VLOOKUP(D21,'For model'!$B$4:$C$16,2,FALSE),C20)</f>
        <v>GUI</v>
      </c>
      <c r="D21" t="s">
        <v>536</v>
      </c>
      <c r="E21" s="72">
        <f>1-E20-E22</f>
        <v>0.98</v>
      </c>
      <c r="F21" s="72">
        <f>1-F20-F22</f>
        <v>0.63274999999999992</v>
      </c>
      <c r="G21" s="72">
        <f t="shared" ref="G21:H21" si="600">1-G20-G22</f>
        <v>0.27550000000000002</v>
      </c>
      <c r="H21" s="72">
        <f t="shared" si="600"/>
        <v>0.27900000000000003</v>
      </c>
      <c r="I21" s="72">
        <f t="shared" ref="I21" si="601">1-I20-I22</f>
        <v>0.27900000000000003</v>
      </c>
      <c r="K21" s="72">
        <f t="shared" ref="K21:K22" si="602">E21</f>
        <v>0.98</v>
      </c>
      <c r="L21" s="72">
        <f t="shared" ref="L21:O21" si="603">($P21-$K21)/($P$4-$K$4)+K21</f>
        <v>0.91054999999999997</v>
      </c>
      <c r="M21" s="72">
        <f t="shared" si="603"/>
        <v>0.84109999999999996</v>
      </c>
      <c r="N21" s="72">
        <f t="shared" si="603"/>
        <v>0.77164999999999995</v>
      </c>
      <c r="O21" s="72">
        <f t="shared" si="603"/>
        <v>0.70219999999999994</v>
      </c>
      <c r="P21" s="72">
        <f t="shared" ref="P21:P22" si="604">F21</f>
        <v>0.63274999999999992</v>
      </c>
      <c r="Q21" s="72">
        <f t="shared" ref="Q21:T21" si="605">($U21-$P21)/($U$4-$P$4)+P21</f>
        <v>0.56129999999999991</v>
      </c>
      <c r="R21" s="72">
        <f t="shared" si="605"/>
        <v>0.4898499999999999</v>
      </c>
      <c r="S21" s="72">
        <f t="shared" si="605"/>
        <v>0.41839999999999988</v>
      </c>
      <c r="T21" s="72">
        <f t="shared" si="605"/>
        <v>0.34694999999999987</v>
      </c>
      <c r="U21" s="72">
        <f t="shared" ref="U21:U22" si="606">G21</f>
        <v>0.27550000000000002</v>
      </c>
      <c r="V21" s="72">
        <f t="shared" ref="V21:V22" si="607">(AE21-U21)/(AE$4-U$4)+U21</f>
        <v>0.27585000000000004</v>
      </c>
      <c r="W21" s="72">
        <f t="shared" ref="W21:W22" si="608">(AE21-U21)/(AE$4-U$4)+V21</f>
        <v>0.27620000000000006</v>
      </c>
      <c r="X21" s="72">
        <f t="shared" ref="X21:X22" si="609">(AE21-U21)/(AE$4-U$4)+W21</f>
        <v>0.27655000000000007</v>
      </c>
      <c r="Y21" s="72">
        <f t="shared" ref="Y21:Y22" si="610">(AE21-U21)/(AE$4-U$4)+X21</f>
        <v>0.27690000000000009</v>
      </c>
      <c r="Z21" s="72">
        <f t="shared" ref="Z21:Z22" si="611">(AE21-U21)/(AE$4-U$4)+Y21</f>
        <v>0.27725000000000011</v>
      </c>
      <c r="AA21" s="72">
        <f t="shared" ref="AA21:AA22" si="612">(AE21-U21)/(AE$4-U$4)+Z21</f>
        <v>0.27760000000000012</v>
      </c>
      <c r="AB21" s="72">
        <f t="shared" ref="AB21:AB22" si="613">(AE21-U21)/(AE$4-U$4)+AA21</f>
        <v>0.27795000000000014</v>
      </c>
      <c r="AC21" s="72">
        <f t="shared" ref="AC21:AC22" si="614">(AE21-U21)/(AE$4-U$4)+AB21</f>
        <v>0.27830000000000016</v>
      </c>
      <c r="AD21" s="72">
        <f t="shared" ref="AD21:AD22" si="615">(AE21-U21)/(AE$4-U$4)+AC21</f>
        <v>0.27865000000000018</v>
      </c>
      <c r="AE21" s="72">
        <f t="shared" ref="AE21:AE22" si="616">H21</f>
        <v>0.27900000000000003</v>
      </c>
      <c r="AF21" s="72">
        <f>(AH21-AE21)/(AH$4-AE$4)+AE21</f>
        <v>0.27900000000000003</v>
      </c>
      <c r="AG21" s="72">
        <f t="shared" ref="AG21:AG22" si="617">(AE21+AH21)/2</f>
        <v>0.27900000000000003</v>
      </c>
      <c r="AH21" s="72">
        <f>I21</f>
        <v>0.27900000000000003</v>
      </c>
      <c r="AJ21" s="72" t="s">
        <v>548</v>
      </c>
      <c r="AK21" s="72">
        <f>AK20</f>
        <v>0.05</v>
      </c>
      <c r="AL21" s="111">
        <v>0.25</v>
      </c>
      <c r="AM21" s="72">
        <v>0.1</v>
      </c>
      <c r="AN21" s="72">
        <v>0.08</v>
      </c>
      <c r="AO21" s="72">
        <f>AN21</f>
        <v>0.08</v>
      </c>
      <c r="AP21" s="118" t="str">
        <f>AQ21&amp;" "&amp;AR21&amp;" "&amp;AS21&amp;" "&amp;AT21&amp;" "&amp;AU21&amp;" "&amp;AV21&amp;" "&amp;AW21&amp;" "&amp;AX21&amp;" "&amp;AY21&amp;" "&amp;AZ21&amp;" "&amp;BA21&amp;" "&amp;BB21&amp;" "&amp;BC21&amp;" "&amp;BD21&amp;" "&amp;BE21&amp;" "&amp;BF21&amp;" "&amp;BG21&amp;" "&amp;BH21&amp;" "&amp;BI21&amp;" "&amp;BJ21&amp;" "&amp;BK21&amp;" "&amp;BL21&amp;" "&amp;BM21&amp;" "&amp;BN21&amp;" "</f>
        <v xml:space="preserve">0.25 0.235 0.22 0.205 0.19 0.175 0.16 0.145 0.13 0.115 0.1 0.098 0.096 0.094 0.092 0.09 0.088 0.086 0.084 0.082 0.08 0.08 0.08 0.08 </v>
      </c>
      <c r="AQ21" s="72">
        <f t="shared" ref="AQ21:AQ22" si="618">AL21</f>
        <v>0.25</v>
      </c>
      <c r="AR21" s="72">
        <f t="shared" ref="AR21:AR22" si="619">(BA21-AQ21)/(BA$4-AQ$4)+AQ21</f>
        <v>0.23499999999999999</v>
      </c>
      <c r="AS21" s="72">
        <f t="shared" ref="AS21:AS22" si="620">(BA21-AQ21)/(BA$4-AQ$4)+AR21</f>
        <v>0.21999999999999997</v>
      </c>
      <c r="AT21" s="72">
        <f t="shared" ref="AT21:AT22" si="621">(BA21-AQ21)/(BA$4-AQ$4)+AS21</f>
        <v>0.20499999999999996</v>
      </c>
      <c r="AU21" s="72">
        <f t="shared" ref="AU21:AU22" si="622">(BA21-AQ21)/(BA$4-AQ$4)+AT21</f>
        <v>0.18999999999999995</v>
      </c>
      <c r="AV21" s="72">
        <f t="shared" ref="AV21:AV22" si="623">(BA21-AQ21)/(BA$4-AQ$4)+AU21</f>
        <v>0.17499999999999993</v>
      </c>
      <c r="AW21" s="72">
        <f t="shared" ref="AW21:AW22" si="624">(BA21-AQ21)/(BA$4-AQ$4)+AV21</f>
        <v>0.15999999999999992</v>
      </c>
      <c r="AX21" s="72">
        <f t="shared" ref="AX21:AX22" si="625">(BA21-AQ21)/(BA$4-AQ$4)+AW21</f>
        <v>0.14499999999999991</v>
      </c>
      <c r="AY21" s="72">
        <f t="shared" ref="AY21:AY22" si="626">(BA21-AQ21)/(BA$4-AQ$4)+AX21</f>
        <v>0.12999999999999989</v>
      </c>
      <c r="AZ21" s="72">
        <f t="shared" ref="AZ21:AZ22" si="627">(BA21-AQ21)/(BA$4-AQ$4)+AY21</f>
        <v>0.11499999999999989</v>
      </c>
      <c r="BA21" s="72">
        <f t="shared" ref="BA21:BA22" si="628">AM21</f>
        <v>0.1</v>
      </c>
      <c r="BB21" s="72">
        <f t="shared" ref="BB21:BB22" si="629">(BK21-BA21)/(BK$4-BA$4)+BA21</f>
        <v>9.8000000000000004E-2</v>
      </c>
      <c r="BC21" s="72">
        <f t="shared" ref="BC21:BC22" si="630">(BK21-BA21)/(BK$4-BA$4)+BB21</f>
        <v>9.6000000000000002E-2</v>
      </c>
      <c r="BD21" s="72">
        <f t="shared" ref="BD21:BD22" si="631">(BK21-BA21)/(BK$4-BA$4)+BC21</f>
        <v>9.4E-2</v>
      </c>
      <c r="BE21" s="72">
        <f t="shared" ref="BE21:BE22" si="632">(BK21-BA21)/(BK$4-BA$4)+BD21</f>
        <v>9.1999999999999998E-2</v>
      </c>
      <c r="BF21" s="72">
        <f t="shared" ref="BF21:BF22" si="633">(BK21-BA21)/(BK$4-BA$4)+BE21</f>
        <v>0.09</v>
      </c>
      <c r="BG21" s="72">
        <f t="shared" ref="BG21:BG22" si="634">(BK21-BA21)/(BK$4-BA$4)+BF21</f>
        <v>8.7999999999999995E-2</v>
      </c>
      <c r="BH21" s="72">
        <f t="shared" ref="BH21:BH22" si="635">(BK21-BA21)/(BK$4-BA$4)+BG21</f>
        <v>8.5999999999999993E-2</v>
      </c>
      <c r="BI21" s="72">
        <f t="shared" ref="BI21:BI22" si="636">(BK21-BA21)/(BK$4-BA$4)+BH21</f>
        <v>8.3999999999999991E-2</v>
      </c>
      <c r="BJ21" s="72">
        <f t="shared" ref="BJ21:BJ22" si="637">(BK21-BA21)/(BK$4-BA$4)+BI21</f>
        <v>8.199999999999999E-2</v>
      </c>
      <c r="BK21" s="72">
        <f t="shared" ref="BK21:BK22" si="638">AN21</f>
        <v>0.08</v>
      </c>
      <c r="BL21" s="72">
        <f>(BN21-BK21)/(BN$4-BK$4)+BK21</f>
        <v>0.08</v>
      </c>
      <c r="BM21" s="72">
        <f t="shared" ref="BM21:BM22" si="639">(BK21+BN21)/2</f>
        <v>0.08</v>
      </c>
      <c r="BN21" s="72">
        <f>AO21</f>
        <v>0.08</v>
      </c>
      <c r="BP21" s="84">
        <f ca="1">K21/(K21+K22)*(K23-BP20)</f>
        <v>595.84</v>
      </c>
      <c r="BQ21" s="84">
        <f t="shared" ref="BQ21" ca="1" si="640">L21/(L21+L22)*(L23-BQ20)</f>
        <v>593.65653316176076</v>
      </c>
      <c r="BR21" s="84">
        <f t="shared" ref="BR21" ca="1" si="641">M21/(M21+M22)*(M23-BR20)</f>
        <v>738.91573228528489</v>
      </c>
      <c r="BS21" s="84">
        <f t="shared" ref="BS21" ca="1" si="642">N21/(N21+N22)*(N23-BS20)</f>
        <v>903.55556948536321</v>
      </c>
      <c r="BT21" s="84">
        <f t="shared" ref="BT21" ca="1" si="643">O21/(O21+O22)*(O23-BT20)</f>
        <v>1059.7430840865516</v>
      </c>
      <c r="BU21" s="84">
        <f t="shared" ref="BU21" ca="1" si="644">P21/(P21+P22)*(P23-BU20)</f>
        <v>1492.2493398717463</v>
      </c>
      <c r="BV21" s="84">
        <f t="shared" ref="BV21" ca="1" si="645">Q21/(Q21+Q22)*(Q23-BV20)</f>
        <v>1619.8780446833528</v>
      </c>
      <c r="BW21" s="84">
        <f t="shared" ref="BW21" ca="1" si="646">R21/(R21+R22)*(R23-BW20)</f>
        <v>1638.865397366676</v>
      </c>
      <c r="BX21" s="84">
        <f t="shared" ref="BX21" ca="1" si="647">S21/(S21+S22)*(S23-BX20)</f>
        <v>1653.0616854908774</v>
      </c>
      <c r="BY21" s="84">
        <f t="shared" ref="BY21" ca="1" si="648">T21/(T21+T22)*(T23-BY20)</f>
        <v>1655.5064257539125</v>
      </c>
      <c r="BZ21" s="84">
        <f t="shared" ref="BZ21" ca="1" si="649">U21/(U21+U22)*(U23-BZ20)</f>
        <v>1639.4577572964672</v>
      </c>
      <c r="CA21" s="84">
        <f t="shared" ref="CA21" ca="1" si="650">V21/(V21+V22)*(V23-CA20)</f>
        <v>1694.2034154450657</v>
      </c>
      <c r="CB21" s="84">
        <f t="shared" ref="CB21" ca="1" si="651">W21/(W21+W22)*(W23-CB20)</f>
        <v>1726.0446162998217</v>
      </c>
      <c r="CC21" s="84">
        <f t="shared" ref="CC21" ca="1" si="652">X21/(X21+X22)*(X23-CC20)</f>
        <v>1757.0297174645</v>
      </c>
      <c r="CD21" s="84">
        <f t="shared" ref="CD21" ca="1" si="653">Y21/(Y21+Y22)*(Y23-CD20)</f>
        <v>1786.4001153070049</v>
      </c>
      <c r="CE21" s="84">
        <f t="shared" ref="CE21" ca="1" si="654">Z21/(Z21+Z22)*(Z23-CE20)</f>
        <v>1816.5876508161818</v>
      </c>
      <c r="CF21" s="84">
        <f t="shared" ref="CF21" ca="1" si="655">AA21/(AA21+AA22)*(AA23-CF20)</f>
        <v>1845.3612487713403</v>
      </c>
      <c r="CG21" s="84">
        <f t="shared" ref="CG21" ca="1" si="656">AB21/(AB21+AB22)*(AB23-CG20)</f>
        <v>1873.2703338064055</v>
      </c>
      <c r="CH21" s="84">
        <f t="shared" ref="CH21" ca="1" si="657">AC21/(AC21+AC22)*(AC23-CH20)</f>
        <v>1900.2481457863212</v>
      </c>
      <c r="CI21" s="84">
        <f t="shared" ref="CI21" ca="1" si="658">AD21/(AD21+AD22)*(AD23-CI20)</f>
        <v>1926.2288713607454</v>
      </c>
      <c r="CJ21" s="84">
        <f t="shared" ref="CJ21" ca="1" si="659">AE21/(AE21+AE22)*(AE23-CJ20)</f>
        <v>1933.1147551562688</v>
      </c>
      <c r="CK21" s="84">
        <f t="shared" ref="CK21" ca="1" si="660">AF21/(AF21+AF22)*(AF23-CK20)</f>
        <v>1983.6680725044293</v>
      </c>
      <c r="CL21" s="84">
        <f t="shared" ref="CL21" ca="1" si="661">AG21/(AG21+AG22)*(AG23-CL20)</f>
        <v>2502.4840127499597</v>
      </c>
      <c r="CM21" s="84">
        <f t="shared" ref="CM21" ca="1" si="662">AH21/(AH21+AH22)*(AH23-CM20)</f>
        <v>3239.5522393924844</v>
      </c>
      <c r="CN21" s="118" t="str">
        <f t="shared" ca="1" si="556"/>
        <v xml:space="preserve">48.5 49.3 62.5 77.9 93.1 133.5 147.6 152 156 158.9 160 165.7 169.2 172.6 175.9 179.3 182.5 185.7 188.8 191.8 192.9 197.9 249.7 323.2 </v>
      </c>
      <c r="CO21" s="117">
        <f t="shared" ref="CO21:CO22" ca="1" si="663">ROUND(BP21*(1-AQ21)*(1-$AK21)/8.76,1)</f>
        <v>48.5</v>
      </c>
      <c r="CP21" s="117">
        <f t="shared" ca="1" si="557"/>
        <v>49.3</v>
      </c>
      <c r="CQ21" s="117">
        <f t="shared" ca="1" si="558"/>
        <v>62.5</v>
      </c>
      <c r="CR21" s="117">
        <f t="shared" ca="1" si="559"/>
        <v>77.900000000000006</v>
      </c>
      <c r="CS21" s="117">
        <f t="shared" ca="1" si="560"/>
        <v>93.1</v>
      </c>
      <c r="CT21" s="117">
        <f t="shared" ca="1" si="561"/>
        <v>133.5</v>
      </c>
      <c r="CU21" s="117">
        <f t="shared" ca="1" si="562"/>
        <v>147.6</v>
      </c>
      <c r="CV21" s="117">
        <f t="shared" ca="1" si="563"/>
        <v>152</v>
      </c>
      <c r="CW21" s="117">
        <f t="shared" ca="1" si="564"/>
        <v>156</v>
      </c>
      <c r="CX21" s="117">
        <f t="shared" ca="1" si="565"/>
        <v>158.9</v>
      </c>
      <c r="CY21" s="117">
        <f t="shared" ca="1" si="566"/>
        <v>160</v>
      </c>
      <c r="CZ21" s="117">
        <f t="shared" ca="1" si="567"/>
        <v>165.7</v>
      </c>
      <c r="DA21" s="117">
        <f t="shared" ca="1" si="568"/>
        <v>169.2</v>
      </c>
      <c r="DB21" s="117">
        <f t="shared" ca="1" si="569"/>
        <v>172.6</v>
      </c>
      <c r="DC21" s="117">
        <f t="shared" ca="1" si="570"/>
        <v>175.9</v>
      </c>
      <c r="DD21" s="117">
        <f t="shared" ca="1" si="571"/>
        <v>179.3</v>
      </c>
      <c r="DE21" s="117">
        <f t="shared" ref="DE21:DE22" ca="1" si="664">ROUND(CF21*(1-BG21)*(1-$AK21)/8.76,1)</f>
        <v>182.5</v>
      </c>
      <c r="DF21" s="117">
        <f t="shared" ca="1" si="572"/>
        <v>185.7</v>
      </c>
      <c r="DG21" s="117">
        <f t="shared" ca="1" si="573"/>
        <v>188.8</v>
      </c>
      <c r="DH21" s="117">
        <f t="shared" ref="DH21:DH22" ca="1" si="665">ROUND(CI21*(1-BJ21)*(1-$AK21)/8.76,1)</f>
        <v>191.8</v>
      </c>
      <c r="DI21" s="117">
        <f t="shared" ca="1" si="574"/>
        <v>192.9</v>
      </c>
      <c r="DJ21" s="117">
        <f t="shared" ref="DJ21:DJ22" ca="1" si="666">ROUND(CK21*(1-BL21)*(1-$AK21)/8.76,1)</f>
        <v>197.9</v>
      </c>
      <c r="DK21" s="117">
        <f t="shared" ref="DK21:DK22" ca="1" si="667">ROUND(CL21*(1-BM21)*(1-$AK21)/8.76,1)</f>
        <v>249.7</v>
      </c>
      <c r="DL21" s="117">
        <f t="shared" ca="1" si="575"/>
        <v>323.2</v>
      </c>
      <c r="DM21" s="118" t="str">
        <f t="shared" si="576"/>
        <v xml:space="preserve">0.75 0.765 0.78 0.795 0.81 0.825 0.84 0.855 0.87 0.885 0.9 0.902 0.904 0.906 0.908 0.91 0.912 0.914 0.916 0.918 0.92 0.92 0.92 0.92 </v>
      </c>
      <c r="DN21" s="72">
        <f t="shared" ref="DN21:DN22" si="668">1-AQ21</f>
        <v>0.75</v>
      </c>
      <c r="DO21" s="72">
        <f t="shared" si="577"/>
        <v>0.76500000000000001</v>
      </c>
      <c r="DP21" s="72">
        <f t="shared" si="578"/>
        <v>0.78</v>
      </c>
      <c r="DQ21" s="72">
        <f t="shared" si="579"/>
        <v>0.79500000000000004</v>
      </c>
      <c r="DR21" s="72">
        <f t="shared" si="580"/>
        <v>0.81</v>
      </c>
      <c r="DS21" s="72">
        <f t="shared" si="581"/>
        <v>0.82500000000000007</v>
      </c>
      <c r="DT21" s="72">
        <f t="shared" si="582"/>
        <v>0.84000000000000008</v>
      </c>
      <c r="DU21" s="72">
        <f t="shared" si="583"/>
        <v>0.85500000000000009</v>
      </c>
      <c r="DV21" s="72">
        <f t="shared" si="584"/>
        <v>0.87000000000000011</v>
      </c>
      <c r="DW21" s="72">
        <f t="shared" si="585"/>
        <v>0.88500000000000012</v>
      </c>
      <c r="DX21" s="72">
        <f t="shared" si="586"/>
        <v>0.9</v>
      </c>
      <c r="DY21" s="72">
        <f t="shared" si="587"/>
        <v>0.90200000000000002</v>
      </c>
      <c r="DZ21" s="72">
        <f t="shared" si="588"/>
        <v>0.90400000000000003</v>
      </c>
      <c r="EA21" s="72">
        <f t="shared" si="589"/>
        <v>0.90600000000000003</v>
      </c>
      <c r="EB21" s="72">
        <f t="shared" si="590"/>
        <v>0.90800000000000003</v>
      </c>
      <c r="EC21" s="72">
        <f t="shared" si="591"/>
        <v>0.91</v>
      </c>
      <c r="ED21" s="72">
        <f t="shared" si="592"/>
        <v>0.91200000000000003</v>
      </c>
      <c r="EE21" s="72">
        <f t="shared" si="593"/>
        <v>0.91400000000000003</v>
      </c>
      <c r="EF21" s="72">
        <f t="shared" si="594"/>
        <v>0.91600000000000004</v>
      </c>
      <c r="EG21" s="72">
        <f t="shared" si="595"/>
        <v>0.91800000000000004</v>
      </c>
      <c r="EH21" s="72">
        <f t="shared" si="596"/>
        <v>0.92</v>
      </c>
      <c r="EI21" s="72">
        <f t="shared" si="597"/>
        <v>0.92</v>
      </c>
      <c r="EJ21" s="72">
        <f t="shared" si="598"/>
        <v>0.92</v>
      </c>
      <c r="EK21" s="72">
        <f t="shared" si="599"/>
        <v>0.92</v>
      </c>
    </row>
    <row r="22" spans="1:141" x14ac:dyDescent="0.25">
      <c r="A22" t="str">
        <f t="shared" si="20"/>
        <v>RuralGUI</v>
      </c>
      <c r="B22" t="str">
        <f t="shared" si="553"/>
        <v>Rural</v>
      </c>
      <c r="C22" t="str">
        <f>IFERROR(VLOOKUP(D22,'For model'!$B$4:$C$16,2,FALSE),C21)</f>
        <v>GUI</v>
      </c>
      <c r="D22" t="s">
        <v>518</v>
      </c>
      <c r="E22" s="72">
        <v>0.02</v>
      </c>
      <c r="F22" s="72">
        <v>0.03</v>
      </c>
      <c r="G22" s="72">
        <v>0.05</v>
      </c>
      <c r="H22" s="72">
        <v>0.1</v>
      </c>
      <c r="I22" s="72">
        <v>0.1</v>
      </c>
      <c r="K22" s="72">
        <f t="shared" si="602"/>
        <v>0.02</v>
      </c>
      <c r="L22" s="72">
        <f t="shared" ref="L22:O22" si="669">($P22-$K22)/($P$4-$K$4)+K22</f>
        <v>2.1999999999999999E-2</v>
      </c>
      <c r="M22" s="72">
        <f t="shared" si="669"/>
        <v>2.3999999999999997E-2</v>
      </c>
      <c r="N22" s="72">
        <f t="shared" si="669"/>
        <v>2.5999999999999995E-2</v>
      </c>
      <c r="O22" s="72">
        <f t="shared" si="669"/>
        <v>2.7999999999999994E-2</v>
      </c>
      <c r="P22" s="72">
        <f t="shared" si="604"/>
        <v>0.03</v>
      </c>
      <c r="Q22" s="72">
        <f t="shared" ref="Q22:T22" si="670">($U22-$P22)/($U$4-$P$4)+P22</f>
        <v>3.4000000000000002E-2</v>
      </c>
      <c r="R22" s="72">
        <f t="shared" si="670"/>
        <v>3.8000000000000006E-2</v>
      </c>
      <c r="S22" s="72">
        <f t="shared" si="670"/>
        <v>4.200000000000001E-2</v>
      </c>
      <c r="T22" s="72">
        <f t="shared" si="670"/>
        <v>4.6000000000000013E-2</v>
      </c>
      <c r="U22" s="72">
        <f t="shared" si="606"/>
        <v>0.05</v>
      </c>
      <c r="V22" s="72">
        <f t="shared" si="607"/>
        <v>5.5E-2</v>
      </c>
      <c r="W22" s="72">
        <f t="shared" si="608"/>
        <v>0.06</v>
      </c>
      <c r="X22" s="72">
        <f t="shared" si="609"/>
        <v>6.5000000000000002E-2</v>
      </c>
      <c r="Y22" s="72">
        <f t="shared" si="610"/>
        <v>7.0000000000000007E-2</v>
      </c>
      <c r="Z22" s="72">
        <f t="shared" si="611"/>
        <v>7.5000000000000011E-2</v>
      </c>
      <c r="AA22" s="72">
        <f t="shared" si="612"/>
        <v>8.0000000000000016E-2</v>
      </c>
      <c r="AB22" s="72">
        <f t="shared" si="613"/>
        <v>8.500000000000002E-2</v>
      </c>
      <c r="AC22" s="72">
        <f t="shared" si="614"/>
        <v>9.0000000000000024E-2</v>
      </c>
      <c r="AD22" s="72">
        <f t="shared" si="615"/>
        <v>9.5000000000000029E-2</v>
      </c>
      <c r="AE22" s="72">
        <f t="shared" si="616"/>
        <v>0.1</v>
      </c>
      <c r="AF22" s="72">
        <f>(AH22-AE22)/(AH$4-AE$4)+AE22</f>
        <v>0.1</v>
      </c>
      <c r="AG22" s="72">
        <f t="shared" si="617"/>
        <v>0.1</v>
      </c>
      <c r="AH22" s="72">
        <f>I22</f>
        <v>0.1</v>
      </c>
      <c r="AJ22" s="116">
        <f>1-((1-AL22)*K22+(1-AL21)*K21+(1-AL20)*K20)*(1-AK20)</f>
        <v>0.28844999999999998</v>
      </c>
      <c r="AK22" s="72">
        <f>AK21</f>
        <v>0.05</v>
      </c>
      <c r="AL22" s="72">
        <v>0.3</v>
      </c>
      <c r="AM22" s="72">
        <v>0.2</v>
      </c>
      <c r="AN22" s="72">
        <v>0.2</v>
      </c>
      <c r="AO22" s="72">
        <f>AN22</f>
        <v>0.2</v>
      </c>
      <c r="AP22" s="118" t="str">
        <f>AQ22&amp;" "&amp;AR22&amp;" "&amp;AS22&amp;" "&amp;AT22&amp;" "&amp;AU22&amp;" "&amp;AV22&amp;" "&amp;AW22&amp;" "&amp;AX22&amp;" "&amp;AY22&amp;" "&amp;AZ22&amp;" "&amp;BA22&amp;" "&amp;BB22&amp;" "&amp;BC22&amp;" "&amp;BD22&amp;" "&amp;BE22&amp;" "&amp;BF22&amp;" "&amp;BG22&amp;" "&amp;BH22&amp;" "&amp;BI22&amp;" "&amp;BJ22&amp;" "&amp;BK22&amp;" "&amp;BL22&amp;" "&amp;BM22&amp;" "&amp;BN22&amp;" "</f>
        <v xml:space="preserve">0.3 0.29 0.28 0.27 0.26 0.25 0.24 0.23 0.22 0.21 0.2 0.2 0.2 0.2 0.2 0.2 0.2 0.2 0.2 0.2 0.2 0.2 0.2 0.2 </v>
      </c>
      <c r="AQ22" s="72">
        <f t="shared" si="618"/>
        <v>0.3</v>
      </c>
      <c r="AR22" s="72">
        <f t="shared" si="619"/>
        <v>0.28999999999999998</v>
      </c>
      <c r="AS22" s="72">
        <f t="shared" si="620"/>
        <v>0.27999999999999997</v>
      </c>
      <c r="AT22" s="72">
        <f t="shared" si="621"/>
        <v>0.26999999999999996</v>
      </c>
      <c r="AU22" s="72">
        <f t="shared" si="622"/>
        <v>0.25999999999999995</v>
      </c>
      <c r="AV22" s="72">
        <f t="shared" si="623"/>
        <v>0.24999999999999994</v>
      </c>
      <c r="AW22" s="72">
        <f t="shared" si="624"/>
        <v>0.23999999999999994</v>
      </c>
      <c r="AX22" s="72">
        <f t="shared" si="625"/>
        <v>0.22999999999999993</v>
      </c>
      <c r="AY22" s="72">
        <f t="shared" si="626"/>
        <v>0.21999999999999992</v>
      </c>
      <c r="AZ22" s="72">
        <f t="shared" si="627"/>
        <v>0.20999999999999991</v>
      </c>
      <c r="BA22" s="72">
        <f t="shared" si="628"/>
        <v>0.2</v>
      </c>
      <c r="BB22" s="72">
        <f t="shared" si="629"/>
        <v>0.2</v>
      </c>
      <c r="BC22" s="72">
        <f t="shared" si="630"/>
        <v>0.2</v>
      </c>
      <c r="BD22" s="72">
        <f t="shared" si="631"/>
        <v>0.2</v>
      </c>
      <c r="BE22" s="72">
        <f t="shared" si="632"/>
        <v>0.2</v>
      </c>
      <c r="BF22" s="72">
        <f t="shared" si="633"/>
        <v>0.2</v>
      </c>
      <c r="BG22" s="72">
        <f t="shared" si="634"/>
        <v>0.2</v>
      </c>
      <c r="BH22" s="72">
        <f t="shared" si="635"/>
        <v>0.2</v>
      </c>
      <c r="BI22" s="72">
        <f t="shared" si="636"/>
        <v>0.2</v>
      </c>
      <c r="BJ22" s="72">
        <f t="shared" si="637"/>
        <v>0.2</v>
      </c>
      <c r="BK22" s="72">
        <f t="shared" si="638"/>
        <v>0.2</v>
      </c>
      <c r="BL22" s="72">
        <f>(BN22-BK22)/(BN$4-BK$4)+BK22</f>
        <v>0.2</v>
      </c>
      <c r="BM22" s="72">
        <f t="shared" si="639"/>
        <v>0.2</v>
      </c>
      <c r="BN22" s="72">
        <f>AO22</f>
        <v>0.2</v>
      </c>
      <c r="BP22" s="84">
        <f ca="1">K22/(K21+K22)*(K23-BP20)</f>
        <v>12.16</v>
      </c>
      <c r="BQ22" s="84">
        <f t="shared" ref="BQ22" ca="1" si="671">L22/(L21+L22)*(L23-BQ20)</f>
        <v>14.343466838239237</v>
      </c>
      <c r="BR22" s="84">
        <f t="shared" ref="BR22" ca="1" si="672">M22/(M21+M22)*(M23-BR20)</f>
        <v>21.084267714715057</v>
      </c>
      <c r="BS22" s="84">
        <f t="shared" ref="BS22" ca="1" si="673">N22/(N21+N22)*(N23-BS20)</f>
        <v>30.444430514636739</v>
      </c>
      <c r="BT22" s="84">
        <f t="shared" ref="BT22" ca="1" si="674">O22/(O21+O22)*(O23-BT20)</f>
        <v>42.256915913448367</v>
      </c>
      <c r="BU22" s="84">
        <f t="shared" ref="BU22" ca="1" si="675">P22/(P21+P22)*(P23-BU20)</f>
        <v>70.7506601282535</v>
      </c>
      <c r="BV22" s="84">
        <f t="shared" ref="BV22" ca="1" si="676">Q22/(Q21+Q22)*(Q23-BV20)</f>
        <v>98.121955316647089</v>
      </c>
      <c r="BW22" s="84">
        <f t="shared" ref="BW22" ca="1" si="677">R22/(R21+R22)*(R23-BW20)</f>
        <v>127.13460263332391</v>
      </c>
      <c r="BX22" s="84">
        <f t="shared" ref="BX22" ca="1" si="678">S22/(S21+S22)*(S23-BX20)</f>
        <v>165.93831450912256</v>
      </c>
      <c r="BY22" s="84">
        <f t="shared" ref="BY22" ca="1" si="679">T22/(T21+T22)*(T23-BY20)</f>
        <v>219.49357424608738</v>
      </c>
      <c r="BZ22" s="84">
        <f t="shared" ref="BZ22" ca="1" si="680">U22/(U21+U22)*(U23-BZ20)</f>
        <v>297.54224270353302</v>
      </c>
      <c r="CA22" s="84">
        <f t="shared" ref="CA22" ca="1" si="681">V22/(V21+V22)*(V23-CA20)</f>
        <v>337.79658455493427</v>
      </c>
      <c r="CB22" s="84">
        <f t="shared" ref="CB22" ca="1" si="682">W22/(W21+W22)*(W23-CB20)</f>
        <v>374.95538370017834</v>
      </c>
      <c r="CC22" s="84">
        <f t="shared" ref="CC22" ca="1" si="683">X22/(X21+X22)*(X23-CC20)</f>
        <v>412.97028253549985</v>
      </c>
      <c r="CD22" s="84">
        <f t="shared" ref="CD22" ca="1" si="684">Y22/(Y21+Y22)*(Y23-CD20)</f>
        <v>451.59988469299498</v>
      </c>
      <c r="CE22" s="84">
        <f t="shared" ref="CE22" ca="1" si="685">Z22/(Z21+Z22)*(Z23-CE20)</f>
        <v>491.41234918381826</v>
      </c>
      <c r="CF22" s="84">
        <f t="shared" ref="CF22" ca="1" si="686">AA22/(AA21+AA22)*(AA23-CF20)</f>
        <v>531.8043944585994</v>
      </c>
      <c r="CG22" s="84">
        <f t="shared" ref="CG22" ca="1" si="687">AB22/(AB21+AB22)*(AB23-CG20)</f>
        <v>572.8655455065458</v>
      </c>
      <c r="CH22" s="84">
        <f t="shared" ref="CH22" ca="1" si="688">AC22/(AC21+AC22)*(AC23-CH20)</f>
        <v>614.52509206169191</v>
      </c>
      <c r="CI22" s="84">
        <f t="shared" ref="CI22" ca="1" si="689">AD22/(AD21+AD22)*(AD23-CI20)</f>
        <v>656.70821022526741</v>
      </c>
      <c r="CJ22" s="84">
        <f t="shared" ref="CJ22" ca="1" si="690">AE22/(AE21+AE22)*(AE23-CJ20)</f>
        <v>692.87267209902109</v>
      </c>
      <c r="CK22" s="84">
        <f t="shared" ref="CK22" ca="1" si="691">AF22/(AF21+AF22)*(AF23-CK20)</f>
        <v>710.99214068259118</v>
      </c>
      <c r="CL22" s="84">
        <f t="shared" ref="CL22" ca="1" si="692">AG22/(AG21+AG22)*(AG23-CL20)</f>
        <v>896.94767482077407</v>
      </c>
      <c r="CM22" s="84">
        <f t="shared" ref="CM22" ca="1" si="693">AH22/(AH21+AH22)*(AH23-CM20)</f>
        <v>1161.1298349077003</v>
      </c>
      <c r="CN22" s="118" t="str">
        <f t="shared" ca="1" si="556"/>
        <v xml:space="preserve">0.9 1.1 1.6 2.4 3.4 5.8 8.1 10.6 14 18.8 25.8 29.3 32.5 35.8 39.2 42.6 46.1 49.7 53.3 57 60.1 61.7 77.8 100.7 </v>
      </c>
      <c r="CO22" s="117">
        <f t="shared" ca="1" si="663"/>
        <v>0.9</v>
      </c>
      <c r="CP22" s="117">
        <f t="shared" ca="1" si="557"/>
        <v>1.1000000000000001</v>
      </c>
      <c r="CQ22" s="117">
        <f t="shared" ca="1" si="558"/>
        <v>1.6</v>
      </c>
      <c r="CR22" s="117">
        <f t="shared" ca="1" si="559"/>
        <v>2.4</v>
      </c>
      <c r="CS22" s="117">
        <f t="shared" ca="1" si="560"/>
        <v>3.4</v>
      </c>
      <c r="CT22" s="117">
        <f t="shared" ca="1" si="561"/>
        <v>5.8</v>
      </c>
      <c r="CU22" s="117">
        <f t="shared" ca="1" si="562"/>
        <v>8.1</v>
      </c>
      <c r="CV22" s="117">
        <f t="shared" ca="1" si="563"/>
        <v>10.6</v>
      </c>
      <c r="CW22" s="117">
        <f t="shared" ca="1" si="564"/>
        <v>14</v>
      </c>
      <c r="CX22" s="117">
        <f t="shared" ca="1" si="565"/>
        <v>18.8</v>
      </c>
      <c r="CY22" s="117">
        <f t="shared" ca="1" si="566"/>
        <v>25.8</v>
      </c>
      <c r="CZ22" s="117">
        <f t="shared" ca="1" si="567"/>
        <v>29.3</v>
      </c>
      <c r="DA22" s="117">
        <f t="shared" ca="1" si="568"/>
        <v>32.5</v>
      </c>
      <c r="DB22" s="117">
        <f t="shared" ca="1" si="569"/>
        <v>35.799999999999997</v>
      </c>
      <c r="DC22" s="117">
        <f t="shared" ca="1" si="570"/>
        <v>39.200000000000003</v>
      </c>
      <c r="DD22" s="117">
        <f t="shared" ca="1" si="571"/>
        <v>42.6</v>
      </c>
      <c r="DE22" s="117">
        <f t="shared" ca="1" si="664"/>
        <v>46.1</v>
      </c>
      <c r="DF22" s="117">
        <f t="shared" ca="1" si="572"/>
        <v>49.7</v>
      </c>
      <c r="DG22" s="117">
        <f t="shared" ca="1" si="573"/>
        <v>53.3</v>
      </c>
      <c r="DH22" s="117">
        <f t="shared" ca="1" si="665"/>
        <v>57</v>
      </c>
      <c r="DI22" s="117">
        <f t="shared" ca="1" si="574"/>
        <v>60.1</v>
      </c>
      <c r="DJ22" s="117">
        <f t="shared" ca="1" si="666"/>
        <v>61.7</v>
      </c>
      <c r="DK22" s="117">
        <f t="shared" ca="1" si="667"/>
        <v>77.8</v>
      </c>
      <c r="DL22" s="117">
        <f t="shared" ca="1" si="575"/>
        <v>100.7</v>
      </c>
      <c r="DM22" s="118" t="str">
        <f t="shared" si="576"/>
        <v xml:space="preserve">0.7 0.71 0.72 0.73 0.74 0.75 0.76 0.77 0.78 0.79 0.8 0.8 0.8 0.8 0.8 0.8 0.8 0.8 0.8 0.8 0.8 0.8 0.8 0.8 </v>
      </c>
      <c r="DN22" s="72">
        <f t="shared" si="668"/>
        <v>0.7</v>
      </c>
      <c r="DO22" s="72">
        <f t="shared" si="577"/>
        <v>0.71</v>
      </c>
      <c r="DP22" s="72">
        <f t="shared" si="578"/>
        <v>0.72</v>
      </c>
      <c r="DQ22" s="72">
        <f t="shared" si="579"/>
        <v>0.73</v>
      </c>
      <c r="DR22" s="72">
        <f t="shared" si="580"/>
        <v>0.74</v>
      </c>
      <c r="DS22" s="72">
        <f t="shared" si="581"/>
        <v>0.75</v>
      </c>
      <c r="DT22" s="72">
        <f t="shared" si="582"/>
        <v>0.76</v>
      </c>
      <c r="DU22" s="72">
        <f t="shared" si="583"/>
        <v>0.77</v>
      </c>
      <c r="DV22" s="72">
        <f t="shared" si="584"/>
        <v>0.78</v>
      </c>
      <c r="DW22" s="72">
        <f t="shared" si="585"/>
        <v>0.79</v>
      </c>
      <c r="DX22" s="72">
        <f t="shared" si="586"/>
        <v>0.8</v>
      </c>
      <c r="DY22" s="72">
        <f t="shared" si="587"/>
        <v>0.8</v>
      </c>
      <c r="DZ22" s="72">
        <f t="shared" si="588"/>
        <v>0.8</v>
      </c>
      <c r="EA22" s="72">
        <f t="shared" si="589"/>
        <v>0.8</v>
      </c>
      <c r="EB22" s="72">
        <f t="shared" si="590"/>
        <v>0.8</v>
      </c>
      <c r="EC22" s="72">
        <f t="shared" si="591"/>
        <v>0.8</v>
      </c>
      <c r="ED22" s="72">
        <f t="shared" si="592"/>
        <v>0.8</v>
      </c>
      <c r="EE22" s="72">
        <f t="shared" si="593"/>
        <v>0.8</v>
      </c>
      <c r="EF22" s="72">
        <f t="shared" si="594"/>
        <v>0.8</v>
      </c>
      <c r="EG22" s="72">
        <f t="shared" si="595"/>
        <v>0.8</v>
      </c>
      <c r="EH22" s="72">
        <f t="shared" si="596"/>
        <v>0.8</v>
      </c>
      <c r="EI22" s="72">
        <f t="shared" si="597"/>
        <v>0.8</v>
      </c>
      <c r="EJ22" s="72">
        <f t="shared" si="598"/>
        <v>0.8</v>
      </c>
      <c r="EK22" s="72">
        <f t="shared" si="599"/>
        <v>0.8</v>
      </c>
    </row>
    <row r="23" spans="1:141" x14ac:dyDescent="0.25">
      <c r="A23" t="str">
        <f t="shared" si="20"/>
        <v>GUI</v>
      </c>
      <c r="C23" t="str">
        <f>IFERROR(VLOOKUP(D23,'For model'!$B$4:$C$16,2,FALSE),C22)</f>
        <v>GUI</v>
      </c>
      <c r="D23" t="s">
        <v>537</v>
      </c>
      <c r="K23" s="84">
        <f ca="1">OFFSET(SourceData!$BS$4,MATCH(K19,SourceData!$BS$5:$BS$28,0),MATCH($C23,SourceData!$BT$3:$CF$3,0))</f>
        <v>608</v>
      </c>
      <c r="L23" s="84">
        <f ca="1">OFFSET(SourceData!$BS$4,MATCH(L19,SourceData!$BS$5:$BS$28,0),MATCH($C23,SourceData!$BT$3:$CF$3,0))</f>
        <v>608</v>
      </c>
      <c r="M23" s="84">
        <f ca="1">OFFSET(SourceData!$BS$4,MATCH(M19,SourceData!$BS$5:$BS$28,0),MATCH($C23,SourceData!$BT$3:$CF$3,0))</f>
        <v>760</v>
      </c>
      <c r="N23" s="84">
        <f ca="1">OFFSET(SourceData!$BS$4,MATCH(N19,SourceData!$BS$5:$BS$28,0),MATCH($C23,SourceData!$BT$3:$CF$3,0))</f>
        <v>934</v>
      </c>
      <c r="O23" s="84">
        <f ca="1">OFFSET(SourceData!$BS$4,MATCH(O19,SourceData!$BS$5:$BS$28,0),MATCH($C23,SourceData!$BT$3:$CF$3,0))</f>
        <v>1102</v>
      </c>
      <c r="P23" s="84">
        <f ca="1">OFFSET(SourceData!$BS$4,MATCH(P19,SourceData!$BS$5:$BS$28,0),MATCH($C23,SourceData!$BT$3:$CF$3,0))</f>
        <v>1563</v>
      </c>
      <c r="Q23" s="84">
        <f ca="1">OFFSET(SourceData!$BS$4,MATCH(Q19,SourceData!$BS$5:$BS$28,0),MATCH($C23,SourceData!$BT$3:$CF$3,0))</f>
        <v>4361</v>
      </c>
      <c r="R23" s="84">
        <f ca="1">OFFSET(SourceData!$BS$4,MATCH(R19,SourceData!$BS$5:$BS$28,0),MATCH($C23,SourceData!$BT$3:$CF$3,0))</f>
        <v>4448</v>
      </c>
      <c r="S23" s="84">
        <f ca="1">OFFSET(SourceData!$BS$4,MATCH(S19,SourceData!$BS$5:$BS$28,0),MATCH($C23,SourceData!$BT$3:$CF$3,0))</f>
        <v>4542</v>
      </c>
      <c r="T23" s="84">
        <f ca="1">OFFSET(SourceData!$BS$4,MATCH(T19,SourceData!$BS$5:$BS$28,0),MATCH($C23,SourceData!$BT$3:$CF$3,0))</f>
        <v>6739</v>
      </c>
      <c r="U23" s="84">
        <f ca="1">OFFSET(SourceData!$BS$4,MATCH(U19,SourceData!$BS$5:$BS$28,0),MATCH($C23,SourceData!$BT$3:$CF$3,0))</f>
        <v>6873</v>
      </c>
      <c r="V23" s="84">
        <f ca="1">OFFSET(SourceData!$BS$4,MATCH(V19,SourceData!$BS$5:$BS$28,0),MATCH($C23,SourceData!$BT$3:$CF$3,0))</f>
        <v>7043</v>
      </c>
      <c r="W23" s="84">
        <f ca="1">OFFSET(SourceData!$BS$4,MATCH(W19,SourceData!$BS$5:$BS$28,0),MATCH($C23,SourceData!$BT$3:$CF$3,0))</f>
        <v>7187</v>
      </c>
      <c r="X23" s="84">
        <f ca="1">OFFSET(SourceData!$BS$4,MATCH(X19,SourceData!$BS$5:$BS$28,0),MATCH($C23,SourceData!$BT$3:$CF$3,0))</f>
        <v>7332</v>
      </c>
      <c r="Y23" s="84">
        <f ca="1">OFFSET(SourceData!$BS$4,MATCH(Y19,SourceData!$BS$5:$BS$28,0),MATCH($C23,SourceData!$BT$3:$CF$3,0))</f>
        <v>7477</v>
      </c>
      <c r="Z23" s="84">
        <f ca="1">OFFSET(SourceData!$BS$4,MATCH(Z19,SourceData!$BS$5:$BS$28,0),MATCH($C23,SourceData!$BT$3:$CF$3,0))</f>
        <v>7626</v>
      </c>
      <c r="AA23" s="84">
        <f ca="1">OFFSET(SourceData!$BS$4,MATCH(AA19,SourceData!$BS$5:$BS$28,0),MATCH($C23,SourceData!$BT$3:$CF$3,0))</f>
        <v>7769.4989765632827</v>
      </c>
      <c r="AB23" s="84">
        <f ca="1">OFFSET(SourceData!$BS$4,MATCH(AB19,SourceData!$BS$5:$BS$28,0),MATCH($C23,SourceData!$BT$3:$CF$3,0))</f>
        <v>7915.4914348685015</v>
      </c>
      <c r="AC23" s="84">
        <f ca="1">OFFSET(SourceData!$BS$4,MATCH(AC19,SourceData!$BS$5:$BS$28,0),MATCH($C23,SourceData!$BT$3:$CF$3,0))</f>
        <v>8061.2324971072658</v>
      </c>
      <c r="AD23" s="84">
        <f ca="1">OFFSET(SourceData!$BS$4,MATCH(AD19,SourceData!$BS$5:$BS$28,0),MATCH($C23,SourceData!$BT$3:$CF$3,0))</f>
        <v>8206.2314025736669</v>
      </c>
      <c r="AE23" s="84">
        <f ca="1">OFFSET(SourceData!$BS$4,MATCH(AE19,SourceData!$BS$5:$BS$28,0),MATCH($C23,SourceData!$BT$3:$CF$3,0))</f>
        <v>8323.4636177314733</v>
      </c>
      <c r="AF23" s="84">
        <f ca="1">OFFSET(SourceData!$BS$4,MATCH(AF19,SourceData!$BS$5:$BS$28,0),MATCH($C23,SourceData!$BT$3:$CF$3,0))</f>
        <v>8470.2633877901862</v>
      </c>
      <c r="AG23" s="84">
        <f ca="1">OFFSET(SourceData!$BS$4,MATCH(AG19,SourceData!$BS$5:$BS$28,0),MATCH($C23,SourceData!$BT$3:$CF$3,0))</f>
        <v>9863.5727216148553</v>
      </c>
      <c r="AH23" s="84">
        <f ca="1">OFFSET(SourceData!$BS$4,MATCH(AH19,SourceData!$BS$5:$BS$28,0),MATCH($C23,SourceData!$BT$3:$CF$3,0))</f>
        <v>11630.631442232607</v>
      </c>
      <c r="BP23" s="84">
        <f ca="1">SUM(BP20:BP22)</f>
        <v>608</v>
      </c>
      <c r="BQ23" s="84">
        <f t="shared" ref="BQ23" ca="1" si="694">SUM(BQ20:BQ22)</f>
        <v>608</v>
      </c>
      <c r="BR23" s="84">
        <f t="shared" ref="BR23" ca="1" si="695">SUM(BR20:BR22)</f>
        <v>760</v>
      </c>
      <c r="BS23" s="84">
        <f t="shared" ref="BS23" ca="1" si="696">SUM(BS20:BS22)</f>
        <v>934</v>
      </c>
      <c r="BT23" s="84">
        <f t="shared" ref="BT23" ca="1" si="697">SUM(BT20:BT22)</f>
        <v>1102</v>
      </c>
      <c r="BU23" s="84">
        <f t="shared" ref="BU23" ca="1" si="698">SUM(BU20:BU22)</f>
        <v>1562.9999999999998</v>
      </c>
      <c r="BV23" s="84">
        <f t="shared" ref="BV23" ca="1" si="699">SUM(BV20:BV22)</f>
        <v>4361</v>
      </c>
      <c r="BW23" s="84">
        <f t="shared" ref="BW23" ca="1" si="700">SUM(BW20:BW22)</f>
        <v>4448</v>
      </c>
      <c r="BX23" s="84">
        <f t="shared" ref="BX23" ca="1" si="701">SUM(BX20:BX22)</f>
        <v>4542</v>
      </c>
      <c r="BY23" s="84">
        <f t="shared" ref="BY23" ca="1" si="702">SUM(BY20:BY22)</f>
        <v>6739</v>
      </c>
      <c r="BZ23" s="84">
        <f t="shared" ref="BZ23" ca="1" si="703">SUM(BZ20:BZ22)</f>
        <v>6873</v>
      </c>
      <c r="CA23" s="84">
        <f t="shared" ref="CA23" ca="1" si="704">SUM(CA20:CA22)</f>
        <v>7043</v>
      </c>
      <c r="CB23" s="84">
        <f t="shared" ref="CB23" ca="1" si="705">SUM(CB20:CB22)</f>
        <v>7187</v>
      </c>
      <c r="CC23" s="84">
        <f t="shared" ref="CC23" ca="1" si="706">SUM(CC20:CC22)</f>
        <v>7332</v>
      </c>
      <c r="CD23" s="84">
        <f t="shared" ref="CD23" ca="1" si="707">SUM(CD20:CD22)</f>
        <v>7477</v>
      </c>
      <c r="CE23" s="84">
        <f t="shared" ref="CE23" ca="1" si="708">SUM(CE20:CE22)</f>
        <v>7626</v>
      </c>
      <c r="CF23" s="84">
        <f t="shared" ref="CF23" ca="1" si="709">SUM(CF20:CF22)</f>
        <v>7769.4989765632827</v>
      </c>
      <c r="CG23" s="84">
        <f t="shared" ref="CG23" ca="1" si="710">SUM(CG20:CG22)</f>
        <v>7915.4914348685015</v>
      </c>
      <c r="CH23" s="84">
        <f t="shared" ref="CH23" ca="1" si="711">SUM(CH20:CH22)</f>
        <v>8061.2324971072658</v>
      </c>
      <c r="CI23" s="84">
        <f t="shared" ref="CI23" ca="1" si="712">SUM(CI20:CI22)</f>
        <v>8206.2314025736669</v>
      </c>
      <c r="CJ23" s="84">
        <f t="shared" ref="CJ23" ca="1" si="713">SUM(CJ20:CJ22)</f>
        <v>8323.4636177314733</v>
      </c>
      <c r="CK23" s="84">
        <f t="shared" ref="CK23" ca="1" si="714">SUM(CK20:CK22)</f>
        <v>8470.2633877901862</v>
      </c>
      <c r="CL23" s="84">
        <f t="shared" ref="CL23" ca="1" si="715">SUM(CL20:CL22)</f>
        <v>9863.5727216148553</v>
      </c>
      <c r="CM23" s="84">
        <f t="shared" ref="CM23" ca="1" si="716">SUM(CM20:CM22)</f>
        <v>11630.631442232607</v>
      </c>
    </row>
    <row r="24" spans="1:141" x14ac:dyDescent="0.25">
      <c r="A24" t="str">
        <f t="shared" si="20"/>
        <v>SIE</v>
      </c>
      <c r="C24" t="str">
        <f>IFERROR(VLOOKUP(D24,'For model'!$B$4:$C$16,2,FALSE),C23)</f>
        <v>SIE</v>
      </c>
      <c r="D24" s="92" t="s">
        <v>85</v>
      </c>
      <c r="E24">
        <v>2010</v>
      </c>
      <c r="F24">
        <v>2015</v>
      </c>
      <c r="G24">
        <v>2020</v>
      </c>
      <c r="H24">
        <v>2030</v>
      </c>
      <c r="I24">
        <f>I19</f>
        <v>2050</v>
      </c>
      <c r="K24">
        <v>2010</v>
      </c>
      <c r="L24">
        <f>K24+1</f>
        <v>2011</v>
      </c>
      <c r="M24">
        <f t="shared" ref="M24:U24" si="717">L24+1</f>
        <v>2012</v>
      </c>
      <c r="N24">
        <f t="shared" si="717"/>
        <v>2013</v>
      </c>
      <c r="O24">
        <f t="shared" si="717"/>
        <v>2014</v>
      </c>
      <c r="P24">
        <f t="shared" si="717"/>
        <v>2015</v>
      </c>
      <c r="Q24">
        <f t="shared" si="717"/>
        <v>2016</v>
      </c>
      <c r="R24">
        <f t="shared" si="717"/>
        <v>2017</v>
      </c>
      <c r="S24">
        <f t="shared" si="717"/>
        <v>2018</v>
      </c>
      <c r="T24">
        <f t="shared" si="717"/>
        <v>2019</v>
      </c>
      <c r="U24">
        <f t="shared" si="717"/>
        <v>2020</v>
      </c>
      <c r="V24">
        <f t="shared" ref="V24:AF24" si="718">U24+1</f>
        <v>2021</v>
      </c>
      <c r="W24">
        <f t="shared" si="718"/>
        <v>2022</v>
      </c>
      <c r="X24">
        <f t="shared" si="718"/>
        <v>2023</v>
      </c>
      <c r="Y24">
        <f t="shared" si="718"/>
        <v>2024</v>
      </c>
      <c r="Z24">
        <f t="shared" si="718"/>
        <v>2025</v>
      </c>
      <c r="AA24">
        <f t="shared" si="718"/>
        <v>2026</v>
      </c>
      <c r="AB24">
        <f t="shared" si="718"/>
        <v>2027</v>
      </c>
      <c r="AC24">
        <f t="shared" si="718"/>
        <v>2028</v>
      </c>
      <c r="AD24">
        <f t="shared" si="718"/>
        <v>2029</v>
      </c>
      <c r="AE24">
        <f t="shared" si="718"/>
        <v>2030</v>
      </c>
      <c r="AF24">
        <f t="shared" si="718"/>
        <v>2031</v>
      </c>
      <c r="AG24">
        <v>2040</v>
      </c>
      <c r="AH24">
        <v>2050</v>
      </c>
      <c r="AL24">
        <f>E24</f>
        <v>2010</v>
      </c>
      <c r="AM24">
        <f>G24</f>
        <v>2020</v>
      </c>
      <c r="AN24">
        <f>H24</f>
        <v>2030</v>
      </c>
      <c r="AO24">
        <f>I24</f>
        <v>2050</v>
      </c>
      <c r="AQ24">
        <v>2010</v>
      </c>
      <c r="AR24">
        <f>AQ24+1</f>
        <v>2011</v>
      </c>
      <c r="AS24">
        <f t="shared" ref="AS24:BL24" si="719">AR24+1</f>
        <v>2012</v>
      </c>
      <c r="AT24">
        <f t="shared" si="719"/>
        <v>2013</v>
      </c>
      <c r="AU24">
        <f t="shared" si="719"/>
        <v>2014</v>
      </c>
      <c r="AV24">
        <f t="shared" si="719"/>
        <v>2015</v>
      </c>
      <c r="AW24">
        <f t="shared" si="719"/>
        <v>2016</v>
      </c>
      <c r="AX24">
        <f t="shared" si="719"/>
        <v>2017</v>
      </c>
      <c r="AY24">
        <f t="shared" si="719"/>
        <v>2018</v>
      </c>
      <c r="AZ24">
        <f t="shared" si="719"/>
        <v>2019</v>
      </c>
      <c r="BA24">
        <f t="shared" si="719"/>
        <v>2020</v>
      </c>
      <c r="BB24">
        <f t="shared" si="719"/>
        <v>2021</v>
      </c>
      <c r="BC24">
        <f t="shared" si="719"/>
        <v>2022</v>
      </c>
      <c r="BD24">
        <f t="shared" si="719"/>
        <v>2023</v>
      </c>
      <c r="BE24">
        <f t="shared" si="719"/>
        <v>2024</v>
      </c>
      <c r="BF24">
        <f t="shared" si="719"/>
        <v>2025</v>
      </c>
      <c r="BG24">
        <f t="shared" si="719"/>
        <v>2026</v>
      </c>
      <c r="BH24">
        <f t="shared" si="719"/>
        <v>2027</v>
      </c>
      <c r="BI24">
        <f t="shared" si="719"/>
        <v>2028</v>
      </c>
      <c r="BJ24">
        <f t="shared" si="719"/>
        <v>2029</v>
      </c>
      <c r="BK24">
        <f t="shared" si="719"/>
        <v>2030</v>
      </c>
      <c r="BL24">
        <f t="shared" si="719"/>
        <v>2031</v>
      </c>
      <c r="BM24">
        <v>2040</v>
      </c>
      <c r="BN24">
        <v>2050</v>
      </c>
      <c r="BP24">
        <f>AQ24</f>
        <v>2010</v>
      </c>
      <c r="BQ24">
        <f t="shared" ref="BQ24" si="720">AR24</f>
        <v>2011</v>
      </c>
      <c r="BR24">
        <f t="shared" ref="BR24" si="721">AS24</f>
        <v>2012</v>
      </c>
      <c r="BS24">
        <f t="shared" ref="BS24" si="722">AT24</f>
        <v>2013</v>
      </c>
      <c r="BT24">
        <f t="shared" ref="BT24" si="723">AU24</f>
        <v>2014</v>
      </c>
      <c r="BU24">
        <f t="shared" ref="BU24" si="724">AV24</f>
        <v>2015</v>
      </c>
      <c r="BV24">
        <f t="shared" ref="BV24" si="725">AW24</f>
        <v>2016</v>
      </c>
      <c r="BW24">
        <f t="shared" ref="BW24" si="726">AX24</f>
        <v>2017</v>
      </c>
      <c r="BX24">
        <f t="shared" ref="BX24" si="727">AY24</f>
        <v>2018</v>
      </c>
      <c r="BY24">
        <f t="shared" ref="BY24" si="728">AZ24</f>
        <v>2019</v>
      </c>
      <c r="BZ24">
        <f t="shared" ref="BZ24" si="729">BA24</f>
        <v>2020</v>
      </c>
      <c r="CA24">
        <f t="shared" ref="CA24" si="730">BB24</f>
        <v>2021</v>
      </c>
      <c r="CB24">
        <f t="shared" ref="CB24" si="731">BC24</f>
        <v>2022</v>
      </c>
      <c r="CC24">
        <f t="shared" ref="CC24" si="732">BD24</f>
        <v>2023</v>
      </c>
      <c r="CD24">
        <f t="shared" ref="CD24" si="733">BE24</f>
        <v>2024</v>
      </c>
      <c r="CE24">
        <f t="shared" ref="CE24" si="734">BF24</f>
        <v>2025</v>
      </c>
      <c r="CF24">
        <f t="shared" ref="CF24" si="735">BG24</f>
        <v>2026</v>
      </c>
      <c r="CG24">
        <f t="shared" ref="CG24" si="736">BH24</f>
        <v>2027</v>
      </c>
      <c r="CH24">
        <f t="shared" ref="CH24" si="737">BI24</f>
        <v>2028</v>
      </c>
      <c r="CI24">
        <f t="shared" ref="CI24" si="738">BJ24</f>
        <v>2029</v>
      </c>
      <c r="CJ24">
        <f t="shared" ref="CJ24" si="739">BK24</f>
        <v>2030</v>
      </c>
      <c r="CK24">
        <f t="shared" ref="CK24" si="740">BL24</f>
        <v>2031</v>
      </c>
      <c r="CL24">
        <f t="shared" ref="CL24" si="741">BM24</f>
        <v>2040</v>
      </c>
      <c r="CM24">
        <f t="shared" ref="CM24" si="742">BN24</f>
        <v>2050</v>
      </c>
      <c r="CO24">
        <f>BP24</f>
        <v>2010</v>
      </c>
      <c r="CP24">
        <f t="shared" ref="CP24" si="743">BQ24</f>
        <v>2011</v>
      </c>
      <c r="CQ24">
        <f t="shared" ref="CQ24" si="744">BR24</f>
        <v>2012</v>
      </c>
      <c r="CR24">
        <f t="shared" ref="CR24" si="745">BS24</f>
        <v>2013</v>
      </c>
      <c r="CS24">
        <f t="shared" ref="CS24" si="746">BT24</f>
        <v>2014</v>
      </c>
      <c r="CT24">
        <f t="shared" ref="CT24" si="747">BU24</f>
        <v>2015</v>
      </c>
      <c r="CU24">
        <f t="shared" ref="CU24" si="748">BV24</f>
        <v>2016</v>
      </c>
      <c r="CV24">
        <f t="shared" ref="CV24" si="749">BW24</f>
        <v>2017</v>
      </c>
      <c r="CW24">
        <f t="shared" ref="CW24" si="750">BX24</f>
        <v>2018</v>
      </c>
      <c r="CX24">
        <f t="shared" ref="CX24" si="751">BY24</f>
        <v>2019</v>
      </c>
      <c r="CY24">
        <f t="shared" ref="CY24" si="752">BZ24</f>
        <v>2020</v>
      </c>
      <c r="CZ24">
        <f t="shared" ref="CZ24" si="753">CA24</f>
        <v>2021</v>
      </c>
      <c r="DA24">
        <f t="shared" ref="DA24" si="754">CB24</f>
        <v>2022</v>
      </c>
      <c r="DB24">
        <f t="shared" ref="DB24" si="755">CC24</f>
        <v>2023</v>
      </c>
      <c r="DC24">
        <f t="shared" ref="DC24" si="756">CD24</f>
        <v>2024</v>
      </c>
      <c r="DD24">
        <f t="shared" ref="DD24" si="757">CE24</f>
        <v>2025</v>
      </c>
      <c r="DE24">
        <f>CF24</f>
        <v>2026</v>
      </c>
      <c r="DF24">
        <f t="shared" ref="DF24" si="758">CG24</f>
        <v>2027</v>
      </c>
      <c r="DG24">
        <f t="shared" ref="DG24" si="759">CH24</f>
        <v>2028</v>
      </c>
      <c r="DH24">
        <f>CI24</f>
        <v>2029</v>
      </c>
      <c r="DI24">
        <f t="shared" ref="DI24" si="760">CJ24</f>
        <v>2030</v>
      </c>
      <c r="DJ24">
        <f>CK24</f>
        <v>2031</v>
      </c>
      <c r="DK24">
        <f>CL24</f>
        <v>2040</v>
      </c>
      <c r="DL24">
        <f t="shared" ref="DL24" si="761">CM24</f>
        <v>2050</v>
      </c>
    </row>
    <row r="25" spans="1:141" x14ac:dyDescent="0.25">
      <c r="A25" t="str">
        <f t="shared" si="20"/>
        <v>Heavy IndustrySIE</v>
      </c>
      <c r="B25" t="str">
        <f t="shared" ref="B25:B27" si="762">B20</f>
        <v>Heavy Industry</v>
      </c>
      <c r="C25" t="str">
        <f>IFERROR(VLOOKUP(D25,'For model'!$B$4:$C$16,2,FALSE),C24)</f>
        <v>SIE</v>
      </c>
      <c r="D25" t="s">
        <v>533</v>
      </c>
      <c r="E25" s="72">
        <v>0</v>
      </c>
      <c r="F25" s="72">
        <f>G25/2</f>
        <v>0.40375</v>
      </c>
      <c r="G25" s="72">
        <f>85%*95%</f>
        <v>0.8075</v>
      </c>
      <c r="H25" s="72">
        <f>81%*90%</f>
        <v>0.72900000000000009</v>
      </c>
      <c r="I25" s="72">
        <f>81%*90%</f>
        <v>0.72900000000000009</v>
      </c>
      <c r="K25" s="72">
        <f>E25</f>
        <v>0</v>
      </c>
      <c r="L25" s="72">
        <f>($P25-$K25)/($P$4-$K$4)+K25</f>
        <v>8.0750000000000002E-2</v>
      </c>
      <c r="M25" s="72">
        <f t="shared" ref="M25:O25" si="763">($P25-$K25)/($P$4-$K$4)+L25</f>
        <v>0.1615</v>
      </c>
      <c r="N25" s="72">
        <f t="shared" si="763"/>
        <v>0.24225000000000002</v>
      </c>
      <c r="O25" s="72">
        <f t="shared" si="763"/>
        <v>0.32300000000000001</v>
      </c>
      <c r="P25" s="72">
        <f>F25</f>
        <v>0.40375</v>
      </c>
      <c r="Q25" s="72">
        <f>($U25-$P25)/($U$4-$P$4)+P25</f>
        <v>0.48449999999999999</v>
      </c>
      <c r="R25" s="72">
        <f t="shared" ref="R25:T25" si="764">($U25-$P25)/($U$4-$P$4)+Q25</f>
        <v>0.56525000000000003</v>
      </c>
      <c r="S25" s="72">
        <f t="shared" si="764"/>
        <v>0.64600000000000002</v>
      </c>
      <c r="T25" s="72">
        <f t="shared" si="764"/>
        <v>0.72675000000000001</v>
      </c>
      <c r="U25" s="72">
        <f>G25</f>
        <v>0.8075</v>
      </c>
      <c r="V25" s="72">
        <f>(AE25-U25)/(AE$4-U$4)+U25</f>
        <v>0.79964999999999997</v>
      </c>
      <c r="W25" s="72">
        <f>(AE25-U25)/(AE$4-U$4)+V25</f>
        <v>0.79179999999999995</v>
      </c>
      <c r="X25" s="72">
        <f>(AE25-U25)/(AE$4-U$4)+W25</f>
        <v>0.78394999999999992</v>
      </c>
      <c r="Y25" s="72">
        <f>(AE25-U25)/(AE$4-U$4)+X25</f>
        <v>0.7760999999999999</v>
      </c>
      <c r="Z25" s="72">
        <f>(AE25-U25)/(AE$4-U$4)+Y25</f>
        <v>0.76824999999999988</v>
      </c>
      <c r="AA25" s="72">
        <f>(AE25-U25)/(AE$4-U$4)+Z25</f>
        <v>0.76039999999999985</v>
      </c>
      <c r="AB25" s="72">
        <f>(AE25-U25)/(AE$4-U$4)+AA25</f>
        <v>0.75254999999999983</v>
      </c>
      <c r="AC25" s="72">
        <f>(AE25-U25)/(AE$4-U$4)+AB25</f>
        <v>0.74469999999999981</v>
      </c>
      <c r="AD25" s="72">
        <f>(AE25-U25)/(AE$4-U$4)+AC25</f>
        <v>0.73684999999999978</v>
      </c>
      <c r="AE25" s="72">
        <f>H25</f>
        <v>0.72900000000000009</v>
      </c>
      <c r="AF25" s="72">
        <f>(AH25-AE25)/(AH$4-AE$4)+AE25</f>
        <v>0.72900000000000009</v>
      </c>
      <c r="AG25" s="72">
        <f>(AE25+AH25)/2</f>
        <v>0.72900000000000009</v>
      </c>
      <c r="AH25" s="72">
        <f>I25</f>
        <v>0.72900000000000009</v>
      </c>
      <c r="AJ25" s="115">
        <f ca="1">SUMIF(SourceData!$Y$3:$AK$3,$C24,SourceData!$Y$1:$AK$1)</f>
        <v>0.34</v>
      </c>
      <c r="AK25" s="72">
        <v>0.05</v>
      </c>
      <c r="AL25" s="94">
        <v>0.02</v>
      </c>
      <c r="AM25" s="72">
        <f>AL25</f>
        <v>0.02</v>
      </c>
      <c r="AN25" s="72">
        <v>0</v>
      </c>
      <c r="AO25" s="72">
        <v>0</v>
      </c>
      <c r="AP25" s="118" t="str">
        <f>AQ25&amp;" "&amp;AR25&amp;" "&amp;AS25&amp;" "&amp;AT25&amp;" "&amp;AU25&amp;" "&amp;AV25&amp;" "&amp;AW25&amp;" "&amp;AX25&amp;" "&amp;AY25&amp;" "&amp;AZ25&amp;" "&amp;BA25&amp;" "&amp;BB25&amp;" "&amp;BC25&amp;" "&amp;BD25&amp;" "&amp;BE25&amp;" "&amp;BF25&amp;" "&amp;BG25&amp;" "&amp;BH25&amp;" "&amp;BI25&amp;" "&amp;BJ25&amp;" "&amp;BK25&amp;" "&amp;BL25&amp;" "&amp;BM25&amp;" "&amp;BN25&amp;" "</f>
        <v xml:space="preserve">0.02 0.02 0.02 0.02 0.02 0.02 0.02 0.02 0.02 0.02 0.02 0.018 0.016 0.014 0.012 0.01 0.008 0.006 0.004 0.002 0 0 0 0 </v>
      </c>
      <c r="AQ25" s="72">
        <f>AL25</f>
        <v>0.02</v>
      </c>
      <c r="AR25" s="72">
        <f>(BA25-AQ25)/(BA$4-AQ$4)+AQ25</f>
        <v>0.02</v>
      </c>
      <c r="AS25" s="72">
        <f>(BA25-AQ25)/(BA$4-AQ$4)+AR25</f>
        <v>0.02</v>
      </c>
      <c r="AT25" s="72">
        <f>(BA25-AQ25)/(BA$4-AQ$4)+AS25</f>
        <v>0.02</v>
      </c>
      <c r="AU25" s="72">
        <f>(BA25-AQ25)/(BA$4-AQ$4)+AT25</f>
        <v>0.02</v>
      </c>
      <c r="AV25" s="72">
        <f>(BA25-AQ25)/(BA$4-AQ$4)+AU25</f>
        <v>0.02</v>
      </c>
      <c r="AW25" s="72">
        <f>(BA25-AQ25)/(BA$4-AQ$4)+AV25</f>
        <v>0.02</v>
      </c>
      <c r="AX25" s="72">
        <f>(BA25-AQ25)/(BA$4-AQ$4)+AW25</f>
        <v>0.02</v>
      </c>
      <c r="AY25" s="72">
        <f>(BA25-AQ25)/(BA$4-AQ$4)+AX25</f>
        <v>0.02</v>
      </c>
      <c r="AZ25" s="72">
        <f>(BA25-AQ25)/(BA$4-AQ$4)+AY25</f>
        <v>0.02</v>
      </c>
      <c r="BA25" s="72">
        <f>AM25</f>
        <v>0.02</v>
      </c>
      <c r="BB25" s="72">
        <f>(BK25-BA25)/(BK$4-BA$4)+BA25</f>
        <v>1.8000000000000002E-2</v>
      </c>
      <c r="BC25" s="72">
        <f>(BK25-BA25)/(BK$4-BA$4)+BB25</f>
        <v>1.6E-2</v>
      </c>
      <c r="BD25" s="72">
        <f>(BK25-BA25)/(BK$4-BA$4)+BC25</f>
        <v>1.4E-2</v>
      </c>
      <c r="BE25" s="72">
        <f>(BK25-BA25)/(BK$4-BA$4)+BD25</f>
        <v>1.2E-2</v>
      </c>
      <c r="BF25" s="72">
        <f>(BK25-BA25)/(BK$4-BA$4)+BE25</f>
        <v>0.01</v>
      </c>
      <c r="BG25" s="72">
        <f>(BK25-BA25)/(BK$4-BA$4)+BF25</f>
        <v>8.0000000000000002E-3</v>
      </c>
      <c r="BH25" s="72">
        <f>(BK25-BA25)/(BK$4-BA$4)+BG25</f>
        <v>6.0000000000000001E-3</v>
      </c>
      <c r="BI25" s="72">
        <f>(BK25-BA25)/(BK$4-BA$4)+BH25</f>
        <v>4.0000000000000001E-3</v>
      </c>
      <c r="BJ25" s="72">
        <f>(BK25-BA25)/(BK$4-BA$4)+BI25</f>
        <v>2E-3</v>
      </c>
      <c r="BK25" s="72">
        <f>AN25</f>
        <v>0</v>
      </c>
      <c r="BL25" s="72">
        <f>(BN25-BK25)/(BN$4-BK$4)+BK25</f>
        <v>0</v>
      </c>
      <c r="BM25" s="72">
        <f>(BK25+BN25)/2</f>
        <v>0</v>
      </c>
      <c r="BN25" s="72">
        <f>AO25</f>
        <v>0</v>
      </c>
      <c r="BO25">
        <f>SUMIF(SourceData!$BD$3:$BP$3,$C24,SourceData!$BD$1:$BP$1)</f>
        <v>1</v>
      </c>
      <c r="BP25" s="84">
        <f ca="1">IF($BO25,OFFSET(SourceData!$BC$4,MATCH(BP24,SourceData!$BC$5:$BC$28,0),MATCH($C28,SourceData!$BD$3:$BP$3,0)),K25*K28)</f>
        <v>0</v>
      </c>
      <c r="BQ25" s="84">
        <f ca="1">IF($BO25,OFFSET(SourceData!$BC$4,MATCH(BQ24,SourceData!$BC$5:$BC$28,0),MATCH($C28,SourceData!$BD$3:$BP$3,0)),L25*L28)</f>
        <v>350</v>
      </c>
      <c r="BR25" s="84">
        <f ca="1">IF($BO25,OFFSET(SourceData!$BC$4,MATCH(BR24,SourceData!$BC$5:$BC$28,0),MATCH($C28,SourceData!$BD$3:$BP$3,0)),M25*M28)</f>
        <v>350</v>
      </c>
      <c r="BS25" s="84">
        <f ca="1">IF($BO25,OFFSET(SourceData!$BC$4,MATCH(BS24,SourceData!$BC$5:$BC$28,0),MATCH($C28,SourceData!$BD$3:$BP$3,0)),N25*N28)</f>
        <v>631</v>
      </c>
      <c r="BT25" s="84">
        <f ca="1">IF($BO25,OFFSET(SourceData!$BC$4,MATCH(BT24,SourceData!$BC$5:$BC$28,0),MATCH($C28,SourceData!$BD$3:$BP$3,0)),O25*O28)</f>
        <v>911</v>
      </c>
      <c r="BU25" s="84">
        <f ca="1">IF($BO25,OFFSET(SourceData!$BC$4,MATCH(BU24,SourceData!$BC$5:$BC$28,0),MATCH($C28,SourceData!$BD$3:$BP$3,0)),P25*P28)</f>
        <v>911</v>
      </c>
      <c r="BV25" s="84">
        <f ca="1">IF($BO25,OFFSET(SourceData!$BC$4,MATCH(BV24,SourceData!$BC$5:$BC$28,0),MATCH($C28,SourceData!$BD$3:$BP$3,0)),Q25*Q28)</f>
        <v>1612</v>
      </c>
      <c r="BW25" s="84">
        <f ca="1">IF($BO25,OFFSET(SourceData!$BC$4,MATCH(BW24,SourceData!$BC$5:$BC$28,0),MATCH($C28,SourceData!$BD$3:$BP$3,0)),R25*R28)</f>
        <v>2313</v>
      </c>
      <c r="BX25" s="84">
        <f ca="1">IF($BO25,OFFSET(SourceData!$BC$4,MATCH(BX24,SourceData!$BC$5:$BC$28,0),MATCH($C28,SourceData!$BD$3:$BP$3,0)),S25*S28)</f>
        <v>3013</v>
      </c>
      <c r="BY25" s="84">
        <f ca="1">IF($BO25,OFFSET(SourceData!$BC$4,MATCH(BY24,SourceData!$BC$5:$BC$28,0),MATCH($C28,SourceData!$BD$3:$BP$3,0)),T25*T28)</f>
        <v>4135</v>
      </c>
      <c r="BZ25" s="84">
        <f ca="1">IF($BO25,OFFSET(SourceData!$BC$4,MATCH(BZ24,SourceData!$BC$5:$BC$28,0),MATCH($C28,SourceData!$BD$3:$BP$3,0)),U25*U28)</f>
        <v>5256</v>
      </c>
      <c r="CA25" s="84">
        <f ca="1">IF($BO25,OFFSET(SourceData!$BC$4,MATCH(CA24,SourceData!$BC$5:$BC$28,0),MATCH($C28,SourceData!$BD$3:$BP$3,0)),V25*V28)</f>
        <v>5256</v>
      </c>
      <c r="CB25" s="84">
        <f ca="1">IF($BO25,OFFSET(SourceData!$BC$4,MATCH(CB24,SourceData!$BC$5:$BC$28,0),MATCH($C28,SourceData!$BD$3:$BP$3,0)),W25*W28)</f>
        <v>5256</v>
      </c>
      <c r="CC25" s="84">
        <f ca="1">IF($BO25,OFFSET(SourceData!$BC$4,MATCH(CC24,SourceData!$BC$5:$BC$28,0),MATCH($C28,SourceData!$BD$3:$BP$3,0)),X25*X28)</f>
        <v>5256</v>
      </c>
      <c r="CD25" s="84">
        <f ca="1">IF($BO25,OFFSET(SourceData!$BC$4,MATCH(CD24,SourceData!$BC$5:$BC$28,0),MATCH($C28,SourceData!$BD$3:$BP$3,0)),Y25*Y28)</f>
        <v>5256</v>
      </c>
      <c r="CE25" s="84">
        <f ca="1">IF($BO25,OFFSET(SourceData!$BC$4,MATCH(CE24,SourceData!$BC$5:$BC$28,0),MATCH($C28,SourceData!$BD$3:$BP$3,0)),Z25*Z28)</f>
        <v>5256</v>
      </c>
      <c r="CF25" s="84">
        <f ca="1">IF($BO25,OFFSET(SourceData!$BC$4,MATCH(CF24,SourceData!$BC$5:$BC$28,0),MATCH($C28,SourceData!$BD$3:$BP$3,0)),AA25*AA28)</f>
        <v>5256</v>
      </c>
      <c r="CG25" s="84">
        <f ca="1">IF($BO25,OFFSET(SourceData!$BC$4,MATCH(CG24,SourceData!$BC$5:$BC$28,0),MATCH($C28,SourceData!$BD$3:$BP$3,0)),AB25*AB28)</f>
        <v>5256</v>
      </c>
      <c r="CH25" s="84">
        <f ca="1">IF($BO25,OFFSET(SourceData!$BC$4,MATCH(CH24,SourceData!$BC$5:$BC$28,0),MATCH($C28,SourceData!$BD$3:$BP$3,0)),AC25*AC28)</f>
        <v>5256</v>
      </c>
      <c r="CI25" s="84">
        <f ca="1">IF($BO25,OFFSET(SourceData!$BC$4,MATCH(CI24,SourceData!$BC$5:$BC$28,0),MATCH($C28,SourceData!$BD$3:$BP$3,0)),AD25*AD28)</f>
        <v>5256</v>
      </c>
      <c r="CJ25" s="84">
        <f ca="1">IF($BO25,OFFSET(SourceData!$BC$4,MATCH(CJ24,SourceData!$BC$5:$BC$28,0),MATCH($C28,SourceData!$BD$3:$BP$3,0)),AE25*AE28)</f>
        <v>5256</v>
      </c>
      <c r="CK25" s="84">
        <f ca="1">IF($BO25,OFFSET(SourceData!$BC$4,MATCH(CK24,SourceData!$BC$5:$BC$28,0),MATCH($C28,SourceData!$BD$3:$BP$3,0)),AF25*AF28)</f>
        <v>5256</v>
      </c>
      <c r="CL25" s="84">
        <f ca="1">IF($BO25,OFFSET(SourceData!$BC$4,MATCH(CL24,SourceData!$BC$5:$BC$28,0),MATCH($C28,SourceData!$BD$3:$BP$3,0)),AG25*AG28)</f>
        <v>5256</v>
      </c>
      <c r="CM25" s="84">
        <f ca="1">IF($BO25,OFFSET(SourceData!$BC$4,MATCH(CM24,SourceData!$BC$5:$BC$28,0),MATCH($C28,SourceData!$BD$3:$BP$3,0)),AH25*AH28)</f>
        <v>5256</v>
      </c>
      <c r="CN25" s="118" t="str">
        <f t="shared" ref="CN25:CN27" ca="1" si="765">CO25&amp;" "&amp;CP25&amp;" "&amp;CQ25&amp;" "&amp;CR25&amp;" "&amp;CS25&amp;" "&amp;CT25&amp;" "&amp;CU25&amp;" "&amp;CV25&amp;" "&amp;CW25&amp;" "&amp;CX25&amp;" "&amp;CY25&amp;" "&amp;CZ25&amp;" "&amp;DA25&amp;" "&amp;DB25&amp;" "&amp;DC25&amp;" "&amp;DD25&amp;" "&amp;DE25&amp;" "&amp;DF25&amp;" "&amp;DG25&amp;" "&amp;DH25&amp;" "&amp;DI25&amp;" "&amp;DJ25&amp;" "&amp;DK25&amp;" "&amp;DL25&amp;" "</f>
        <v xml:space="preserve">0 37.2 37.2 67.1 96.8 96.8 171.3 245.8 320.2 439.5 558.6 559.7 560.9 562 563.2 564.3 565.4 566.6 567.7 568.9 570 570 570 570 </v>
      </c>
      <c r="CO25" s="117">
        <f ca="1">ROUND(BP25*(1-AQ25)*(1-$AK25)/8.76,1)</f>
        <v>0</v>
      </c>
      <c r="CP25" s="117">
        <f t="shared" ref="CP25:CP27" ca="1" si="766">ROUND(BQ25*(1-AR25)*(1-$AK25)/8.76,1)</f>
        <v>37.200000000000003</v>
      </c>
      <c r="CQ25" s="117">
        <f t="shared" ref="CQ25:CQ27" ca="1" si="767">ROUND(BR25*(1-AS25)*(1-$AK25)/8.76,1)</f>
        <v>37.200000000000003</v>
      </c>
      <c r="CR25" s="117">
        <f t="shared" ref="CR25:CR27" ca="1" si="768">ROUND(BS25*(1-AT25)*(1-$AK25)/8.76,1)</f>
        <v>67.099999999999994</v>
      </c>
      <c r="CS25" s="117">
        <f t="shared" ref="CS25:CS27" ca="1" si="769">ROUND(BT25*(1-AU25)*(1-$AK25)/8.76,1)</f>
        <v>96.8</v>
      </c>
      <c r="CT25" s="117">
        <f t="shared" ref="CT25:CT27" ca="1" si="770">ROUND(BU25*(1-AV25)*(1-$AK25)/8.76,1)</f>
        <v>96.8</v>
      </c>
      <c r="CU25" s="117">
        <f t="shared" ref="CU25:CU27" ca="1" si="771">ROUND(BV25*(1-AW25)*(1-$AK25)/8.76,1)</f>
        <v>171.3</v>
      </c>
      <c r="CV25" s="117">
        <f t="shared" ref="CV25:CV27" ca="1" si="772">ROUND(BW25*(1-AX25)*(1-$AK25)/8.76,1)</f>
        <v>245.8</v>
      </c>
      <c r="CW25" s="117">
        <f t="shared" ref="CW25:CW27" ca="1" si="773">ROUND(BX25*(1-AY25)*(1-$AK25)/8.76,1)</f>
        <v>320.2</v>
      </c>
      <c r="CX25" s="117">
        <f t="shared" ref="CX25:CX27" ca="1" si="774">ROUND(BY25*(1-AZ25)*(1-$AK25)/8.76,1)</f>
        <v>439.5</v>
      </c>
      <c r="CY25" s="117">
        <f t="shared" ref="CY25:CY27" ca="1" si="775">ROUND(BZ25*(1-BA25)*(1-$AK25)/8.76,1)</f>
        <v>558.6</v>
      </c>
      <c r="CZ25" s="117">
        <f t="shared" ref="CZ25:CZ27" ca="1" si="776">ROUND(CA25*(1-BB25)*(1-$AK25)/8.76,1)</f>
        <v>559.70000000000005</v>
      </c>
      <c r="DA25" s="117">
        <f t="shared" ref="DA25:DA27" ca="1" si="777">ROUND(CB25*(1-BC25)*(1-$AK25)/8.76,1)</f>
        <v>560.9</v>
      </c>
      <c r="DB25" s="117">
        <f t="shared" ref="DB25:DB27" ca="1" si="778">ROUND(CC25*(1-BD25)*(1-$AK25)/8.76,1)</f>
        <v>562</v>
      </c>
      <c r="DC25" s="117">
        <f t="shared" ref="DC25:DC27" ca="1" si="779">ROUND(CD25*(1-BE25)*(1-$AK25)/8.76,1)</f>
        <v>563.20000000000005</v>
      </c>
      <c r="DD25" s="117">
        <f t="shared" ref="DD25:DD27" ca="1" si="780">ROUND(CE25*(1-BF25)*(1-$AK25)/8.76,1)</f>
        <v>564.29999999999995</v>
      </c>
      <c r="DE25" s="117">
        <f ca="1">ROUND(CF25*(1-BG25)*(1-$AK25)/8.76,1)</f>
        <v>565.4</v>
      </c>
      <c r="DF25" s="117">
        <f t="shared" ref="DF25:DF27" ca="1" si="781">ROUND(CG25*(1-BH25)*(1-$AK25)/8.76,1)</f>
        <v>566.6</v>
      </c>
      <c r="DG25" s="117">
        <f t="shared" ref="DG25:DG27" ca="1" si="782">ROUND(CH25*(1-BI25)*(1-$AK25)/8.76,1)</f>
        <v>567.70000000000005</v>
      </c>
      <c r="DH25" s="117">
        <f ca="1">ROUND(CI25*(1-BJ25)*(1-$AK25)/8.76,1)</f>
        <v>568.9</v>
      </c>
      <c r="DI25" s="117">
        <f t="shared" ref="DI25:DI27" ca="1" si="783">ROUND(CJ25*(1-BK25)*(1-$AK25)/8.76,1)</f>
        <v>570</v>
      </c>
      <c r="DJ25" s="117">
        <f ca="1">ROUND(CK25*(1-BL25)*(1-$AK25)/8.76,1)</f>
        <v>570</v>
      </c>
      <c r="DK25" s="117">
        <f ca="1">ROUND(CL25*(1-BM25)*(1-$AK25)/8.76,1)</f>
        <v>570</v>
      </c>
      <c r="DL25" s="117">
        <f t="shared" ref="DL25:DL27" ca="1" si="784">ROUND(CM25*(1-BN25)*(1-$AK25)/8.76,1)</f>
        <v>570</v>
      </c>
      <c r="DM25" s="118" t="str">
        <f t="shared" ref="DM25:DM27" si="785">DN25&amp;" "&amp;DO25&amp;" "&amp;DP25&amp;" "&amp;DQ25&amp;" "&amp;DR25&amp;" "&amp;DS25&amp;" "&amp;DT25&amp;" "&amp;DU25&amp;" "&amp;DV25&amp;" "&amp;DW25&amp;" "&amp;DX25&amp;" "&amp;DY25&amp;" "&amp;DZ25&amp;" "&amp;EA25&amp;" "&amp;EB25&amp;" "&amp;EC25&amp;" "&amp;ED25&amp;" "&amp;EE25&amp;" "&amp;EF25&amp;" "&amp;EG25&amp;" "&amp;EH25&amp;" "&amp;EI25&amp;" "&amp;EJ25&amp;" "&amp;EK25&amp;" "</f>
        <v xml:space="preserve">0.98 0.98 0.98 0.98 0.98 0.98 0.98 0.98 0.98 0.98 0.98 0.982 0.984 0.986 0.988 0.99 0.992 0.994 0.996 0.998 1 1 1 1 </v>
      </c>
      <c r="DN25" s="72">
        <f>1-AQ25</f>
        <v>0.98</v>
      </c>
      <c r="DO25" s="72">
        <f t="shared" ref="DO25:DO27" si="786">1-AR25</f>
        <v>0.98</v>
      </c>
      <c r="DP25" s="72">
        <f t="shared" ref="DP25:DP27" si="787">1-AS25</f>
        <v>0.98</v>
      </c>
      <c r="DQ25" s="72">
        <f t="shared" ref="DQ25:DQ27" si="788">1-AT25</f>
        <v>0.98</v>
      </c>
      <c r="DR25" s="72">
        <f t="shared" ref="DR25:DR27" si="789">1-AU25</f>
        <v>0.98</v>
      </c>
      <c r="DS25" s="72">
        <f t="shared" ref="DS25:DS27" si="790">1-AV25</f>
        <v>0.98</v>
      </c>
      <c r="DT25" s="72">
        <f t="shared" ref="DT25:DT27" si="791">1-AW25</f>
        <v>0.98</v>
      </c>
      <c r="DU25" s="72">
        <f t="shared" ref="DU25:DU27" si="792">1-AX25</f>
        <v>0.98</v>
      </c>
      <c r="DV25" s="72">
        <f t="shared" ref="DV25:DV27" si="793">1-AY25</f>
        <v>0.98</v>
      </c>
      <c r="DW25" s="72">
        <f t="shared" ref="DW25:DW27" si="794">1-AZ25</f>
        <v>0.98</v>
      </c>
      <c r="DX25" s="72">
        <f t="shared" ref="DX25:DX27" si="795">1-BA25</f>
        <v>0.98</v>
      </c>
      <c r="DY25" s="72">
        <f t="shared" ref="DY25:DY27" si="796">1-BB25</f>
        <v>0.98199999999999998</v>
      </c>
      <c r="DZ25" s="72">
        <f t="shared" ref="DZ25:DZ27" si="797">1-BC25</f>
        <v>0.98399999999999999</v>
      </c>
      <c r="EA25" s="72">
        <f t="shared" ref="EA25:EA27" si="798">1-BD25</f>
        <v>0.98599999999999999</v>
      </c>
      <c r="EB25" s="72">
        <f t="shared" ref="EB25:EB27" si="799">1-BE25</f>
        <v>0.98799999999999999</v>
      </c>
      <c r="EC25" s="72">
        <f t="shared" ref="EC25:EC27" si="800">1-BF25</f>
        <v>0.99</v>
      </c>
      <c r="ED25" s="72">
        <f t="shared" ref="ED25:ED27" si="801">1-BG25</f>
        <v>0.99199999999999999</v>
      </c>
      <c r="EE25" s="72">
        <f t="shared" ref="EE25:EE27" si="802">1-BH25</f>
        <v>0.99399999999999999</v>
      </c>
      <c r="EF25" s="72">
        <f t="shared" ref="EF25:EF27" si="803">1-BI25</f>
        <v>0.996</v>
      </c>
      <c r="EG25" s="72">
        <f t="shared" ref="EG25:EG27" si="804">1-BJ25</f>
        <v>0.998</v>
      </c>
      <c r="EH25" s="72">
        <f t="shared" ref="EH25:EH27" si="805">1-BK25</f>
        <v>1</v>
      </c>
      <c r="EI25" s="72">
        <f t="shared" ref="EI25:EI27" si="806">1-BL25</f>
        <v>1</v>
      </c>
      <c r="EJ25" s="72">
        <f t="shared" ref="EJ25:EJ27" si="807">1-BM25</f>
        <v>1</v>
      </c>
      <c r="EK25" s="72">
        <f t="shared" ref="EK25:EK27" si="808">1-BN25</f>
        <v>1</v>
      </c>
    </row>
    <row r="26" spans="1:141" x14ac:dyDescent="0.25">
      <c r="A26" t="str">
        <f t="shared" si="20"/>
        <v>UrbanSIE</v>
      </c>
      <c r="B26" t="str">
        <f t="shared" si="762"/>
        <v>Urban</v>
      </c>
      <c r="C26" t="str">
        <f>IFERROR(VLOOKUP(D26,'For model'!$B$4:$C$16,2,FALSE),C25)</f>
        <v>SIE</v>
      </c>
      <c r="D26" t="s">
        <v>536</v>
      </c>
      <c r="E26" s="72">
        <f>1-E25-E27</f>
        <v>0.98</v>
      </c>
      <c r="F26" s="72">
        <f>1-F25-F27</f>
        <v>0.56624999999999992</v>
      </c>
      <c r="G26" s="72">
        <f t="shared" ref="G26:H26" si="809">1-G25-G27</f>
        <v>0.14250000000000002</v>
      </c>
      <c r="H26" s="72">
        <f t="shared" si="809"/>
        <v>0.1709999999999999</v>
      </c>
      <c r="I26" s="72">
        <f t="shared" ref="I26" si="810">1-I25-I27</f>
        <v>0.1709999999999999</v>
      </c>
      <c r="K26" s="72">
        <f t="shared" ref="K26:K27" si="811">E26</f>
        <v>0.98</v>
      </c>
      <c r="L26" s="72">
        <f t="shared" ref="L26:O26" si="812">($P26-$K26)/($P$4-$K$4)+K26</f>
        <v>0.89724999999999999</v>
      </c>
      <c r="M26" s="72">
        <f t="shared" si="812"/>
        <v>0.8145</v>
      </c>
      <c r="N26" s="72">
        <f t="shared" si="812"/>
        <v>0.73175000000000001</v>
      </c>
      <c r="O26" s="72">
        <f t="shared" si="812"/>
        <v>0.64900000000000002</v>
      </c>
      <c r="P26" s="72">
        <f t="shared" ref="P26:P27" si="813">F26</f>
        <v>0.56624999999999992</v>
      </c>
      <c r="Q26" s="72">
        <f t="shared" ref="Q26:T26" si="814">($U26-$P26)/($U$4-$P$4)+P26</f>
        <v>0.48149999999999993</v>
      </c>
      <c r="R26" s="72">
        <f t="shared" si="814"/>
        <v>0.39674999999999994</v>
      </c>
      <c r="S26" s="72">
        <f t="shared" si="814"/>
        <v>0.31199999999999994</v>
      </c>
      <c r="T26" s="72">
        <f t="shared" si="814"/>
        <v>0.22724999999999995</v>
      </c>
      <c r="U26" s="72">
        <f t="shared" ref="U26:U27" si="815">G26</f>
        <v>0.14250000000000002</v>
      </c>
      <c r="V26" s="72">
        <f t="shared" ref="V26:V27" si="816">(AE26-U26)/(AE$4-U$4)+U26</f>
        <v>0.14535000000000001</v>
      </c>
      <c r="W26" s="72">
        <f t="shared" ref="W26:W27" si="817">(AE26-U26)/(AE$4-U$4)+V26</f>
        <v>0.1482</v>
      </c>
      <c r="X26" s="72">
        <f t="shared" ref="X26:X27" si="818">(AE26-U26)/(AE$4-U$4)+W26</f>
        <v>0.15104999999999999</v>
      </c>
      <c r="Y26" s="72">
        <f t="shared" ref="Y26:Y27" si="819">(AE26-U26)/(AE$4-U$4)+X26</f>
        <v>0.15389999999999998</v>
      </c>
      <c r="Z26" s="72">
        <f t="shared" ref="Z26:Z27" si="820">(AE26-U26)/(AE$4-U$4)+Y26</f>
        <v>0.15674999999999997</v>
      </c>
      <c r="AA26" s="72">
        <f t="shared" ref="AA26:AA27" si="821">(AE26-U26)/(AE$4-U$4)+Z26</f>
        <v>0.15959999999999996</v>
      </c>
      <c r="AB26" s="72">
        <f t="shared" ref="AB26:AB27" si="822">(AE26-U26)/(AE$4-U$4)+AA26</f>
        <v>0.16244999999999996</v>
      </c>
      <c r="AC26" s="72">
        <f t="shared" ref="AC26:AC27" si="823">(AE26-U26)/(AE$4-U$4)+AB26</f>
        <v>0.16529999999999995</v>
      </c>
      <c r="AD26" s="72">
        <f t="shared" ref="AD26:AD27" si="824">(AE26-U26)/(AE$4-U$4)+AC26</f>
        <v>0.16814999999999994</v>
      </c>
      <c r="AE26" s="72">
        <f t="shared" ref="AE26:AE27" si="825">H26</f>
        <v>0.1709999999999999</v>
      </c>
      <c r="AF26" s="72">
        <f>(AH26-AE26)/(AH$4-AE$4)+AE26</f>
        <v>0.1709999999999999</v>
      </c>
      <c r="AG26" s="72">
        <f t="shared" ref="AG26:AG27" si="826">(AE26+AH26)/2</f>
        <v>0.1709999999999999</v>
      </c>
      <c r="AH26" s="72">
        <f>I26</f>
        <v>0.1709999999999999</v>
      </c>
      <c r="AJ26" s="72" t="s">
        <v>548</v>
      </c>
      <c r="AK26" s="72">
        <f>AK25</f>
        <v>0.05</v>
      </c>
      <c r="AL26" s="111">
        <v>0.25</v>
      </c>
      <c r="AM26" s="72">
        <v>0.1</v>
      </c>
      <c r="AN26" s="72">
        <v>0.08</v>
      </c>
      <c r="AO26" s="72">
        <f>AN26</f>
        <v>0.08</v>
      </c>
      <c r="AP26" s="118" t="str">
        <f>AQ26&amp;" "&amp;AR26&amp;" "&amp;AS26&amp;" "&amp;AT26&amp;" "&amp;AU26&amp;" "&amp;AV26&amp;" "&amp;AW26&amp;" "&amp;AX26&amp;" "&amp;AY26&amp;" "&amp;AZ26&amp;" "&amp;BA26&amp;" "&amp;BB26&amp;" "&amp;BC26&amp;" "&amp;BD26&amp;" "&amp;BE26&amp;" "&amp;BF26&amp;" "&amp;BG26&amp;" "&amp;BH26&amp;" "&amp;BI26&amp;" "&amp;BJ26&amp;" "&amp;BK26&amp;" "&amp;BL26&amp;" "&amp;BM26&amp;" "&amp;BN26&amp;" "</f>
        <v xml:space="preserve">0.25 0.235 0.22 0.205 0.19 0.175 0.16 0.145 0.13 0.115 0.1 0.098 0.096 0.094 0.092 0.09 0.088 0.086 0.084 0.082 0.08 0.08 0.08 0.08 </v>
      </c>
      <c r="AQ26" s="72">
        <f t="shared" ref="AQ26:AQ27" si="827">AL26</f>
        <v>0.25</v>
      </c>
      <c r="AR26" s="72">
        <f t="shared" ref="AR26:AR27" si="828">(BA26-AQ26)/(BA$4-AQ$4)+AQ26</f>
        <v>0.23499999999999999</v>
      </c>
      <c r="AS26" s="72">
        <f t="shared" ref="AS26:AS27" si="829">(BA26-AQ26)/(BA$4-AQ$4)+AR26</f>
        <v>0.21999999999999997</v>
      </c>
      <c r="AT26" s="72">
        <f t="shared" ref="AT26:AT27" si="830">(BA26-AQ26)/(BA$4-AQ$4)+AS26</f>
        <v>0.20499999999999996</v>
      </c>
      <c r="AU26" s="72">
        <f t="shared" ref="AU26:AU27" si="831">(BA26-AQ26)/(BA$4-AQ$4)+AT26</f>
        <v>0.18999999999999995</v>
      </c>
      <c r="AV26" s="72">
        <f t="shared" ref="AV26:AV27" si="832">(BA26-AQ26)/(BA$4-AQ$4)+AU26</f>
        <v>0.17499999999999993</v>
      </c>
      <c r="AW26" s="72">
        <f t="shared" ref="AW26:AW27" si="833">(BA26-AQ26)/(BA$4-AQ$4)+AV26</f>
        <v>0.15999999999999992</v>
      </c>
      <c r="AX26" s="72">
        <f t="shared" ref="AX26:AX27" si="834">(BA26-AQ26)/(BA$4-AQ$4)+AW26</f>
        <v>0.14499999999999991</v>
      </c>
      <c r="AY26" s="72">
        <f t="shared" ref="AY26:AY27" si="835">(BA26-AQ26)/(BA$4-AQ$4)+AX26</f>
        <v>0.12999999999999989</v>
      </c>
      <c r="AZ26" s="72">
        <f t="shared" ref="AZ26:AZ27" si="836">(BA26-AQ26)/(BA$4-AQ$4)+AY26</f>
        <v>0.11499999999999989</v>
      </c>
      <c r="BA26" s="72">
        <f t="shared" ref="BA26:BA27" si="837">AM26</f>
        <v>0.1</v>
      </c>
      <c r="BB26" s="72">
        <f t="shared" ref="BB26:BB27" si="838">(BK26-BA26)/(BK$4-BA$4)+BA26</f>
        <v>9.8000000000000004E-2</v>
      </c>
      <c r="BC26" s="72">
        <f t="shared" ref="BC26:BC27" si="839">(BK26-BA26)/(BK$4-BA$4)+BB26</f>
        <v>9.6000000000000002E-2</v>
      </c>
      <c r="BD26" s="72">
        <f t="shared" ref="BD26:BD27" si="840">(BK26-BA26)/(BK$4-BA$4)+BC26</f>
        <v>9.4E-2</v>
      </c>
      <c r="BE26" s="72">
        <f t="shared" ref="BE26:BE27" si="841">(BK26-BA26)/(BK$4-BA$4)+BD26</f>
        <v>9.1999999999999998E-2</v>
      </c>
      <c r="BF26" s="72">
        <f t="shared" ref="BF26:BF27" si="842">(BK26-BA26)/(BK$4-BA$4)+BE26</f>
        <v>0.09</v>
      </c>
      <c r="BG26" s="72">
        <f t="shared" ref="BG26:BG27" si="843">(BK26-BA26)/(BK$4-BA$4)+BF26</f>
        <v>8.7999999999999995E-2</v>
      </c>
      <c r="BH26" s="72">
        <f t="shared" ref="BH26:BH27" si="844">(BK26-BA26)/(BK$4-BA$4)+BG26</f>
        <v>8.5999999999999993E-2</v>
      </c>
      <c r="BI26" s="72">
        <f t="shared" ref="BI26:BI27" si="845">(BK26-BA26)/(BK$4-BA$4)+BH26</f>
        <v>8.3999999999999991E-2</v>
      </c>
      <c r="BJ26" s="72">
        <f t="shared" ref="BJ26:BJ27" si="846">(BK26-BA26)/(BK$4-BA$4)+BI26</f>
        <v>8.199999999999999E-2</v>
      </c>
      <c r="BK26" s="72">
        <f t="shared" ref="BK26:BK27" si="847">AN26</f>
        <v>0.08</v>
      </c>
      <c r="BL26" s="72">
        <f>(BN26-BK26)/(BN$4-BK$4)+BK26</f>
        <v>0.08</v>
      </c>
      <c r="BM26" s="72">
        <f t="shared" ref="BM26:BM27" si="848">(BK26+BN26)/2</f>
        <v>0.08</v>
      </c>
      <c r="BN26" s="72">
        <f>AO26</f>
        <v>0.08</v>
      </c>
      <c r="BP26" s="84">
        <f ca="1">K26/(K26+K27)*(K28-BP25)</f>
        <v>158.76</v>
      </c>
      <c r="BQ26" s="84">
        <f t="shared" ref="BQ26" ca="1" si="849">L26/(L26+L27)*(L28-BQ25)</f>
        <v>197.16562415012237</v>
      </c>
      <c r="BR26" s="84">
        <f t="shared" ref="BR26" ca="1" si="850">M26/(M26+M27)*(M28-BR25)</f>
        <v>259.35778175313055</v>
      </c>
      <c r="BS26" s="84">
        <f t="shared" ref="BS26" ca="1" si="851">N26/(N26+N27)*(N28-BS25)</f>
        <v>350.5447047179149</v>
      </c>
      <c r="BT26" s="84">
        <f t="shared" ref="BT26" ca="1" si="852">O26/(O26+O27)*(O28-BT25)</f>
        <v>465.89955686853767</v>
      </c>
      <c r="BU26" s="84">
        <f t="shared" ref="BU26" ca="1" si="853">P26/(P26+P27)*(P28-BU25)</f>
        <v>557.46540880503142</v>
      </c>
      <c r="BV26" s="84">
        <f t="shared" ref="BV26" ca="1" si="854">Q26/(Q26+Q27)*(Q28-BV25)</f>
        <v>667.84190106692529</v>
      </c>
      <c r="BW26" s="84">
        <f t="shared" ref="BW26" ca="1" si="855">R26/(R26+R27)*(R28-BW25)</f>
        <v>720.03622771707865</v>
      </c>
      <c r="BX26" s="84">
        <f t="shared" ref="BX26" ca="1" si="856">S26/(S26+S27)*(S28-BX25)</f>
        <v>729.7627118644067</v>
      </c>
      <c r="BY26" s="84">
        <f t="shared" ref="BY26" ca="1" si="857">T26/(T26+T27)*(T28-BY25)</f>
        <v>721.87740164684351</v>
      </c>
      <c r="BZ26" s="84">
        <f t="shared" ref="BZ26" ca="1" si="858">U26/(U26+U27)*(U28-BZ25)</f>
        <v>671.41558441558448</v>
      </c>
      <c r="CA26" s="84">
        <f t="shared" ref="CA26" ca="1" si="859">V26/(V26+V27)*(V28-CA25)</f>
        <v>694.28475168455202</v>
      </c>
      <c r="CB26" s="84">
        <f t="shared" ref="CB26" ca="1" si="860">W26/(W26+W27)*(W28-CB25)</f>
        <v>716.79827089337186</v>
      </c>
      <c r="CC26" s="84">
        <f t="shared" ref="CC26" ca="1" si="861">X26/(X26+X27)*(X28-CC25)</f>
        <v>738.99490858597539</v>
      </c>
      <c r="CD26" s="84">
        <f t="shared" ref="CD26" ca="1" si="862">Y26/(Y26+Y27)*(Y28-CD25)</f>
        <v>760.90799464046449</v>
      </c>
      <c r="CE26" s="84">
        <f t="shared" ref="CE26" ca="1" si="863">Z26/(Z26+Z27)*(Z28-CE25)</f>
        <v>782.56634304207114</v>
      </c>
      <c r="CF26" s="84">
        <f t="shared" ref="CF26" ca="1" si="864">AA26/(AA26+AA27)*(AA28-CF25)</f>
        <v>803.59457950196816</v>
      </c>
      <c r="CG26" s="84">
        <f t="shared" ref="CG26" ca="1" si="865">AB26/(AB26+AB27)*(AB28-CG25)</f>
        <v>823.94306543528774</v>
      </c>
      <c r="CH26" s="84">
        <f t="shared" ref="CH26" ca="1" si="866">AC26/(AC26+AC27)*(AC28-CH25)</f>
        <v>843.48084689294831</v>
      </c>
      <c r="CI26" s="84">
        <f t="shared" ref="CI26" ca="1" si="867">AD26/(AD26+AD27)*(AD28-CI25)</f>
        <v>862.0786780285556</v>
      </c>
      <c r="CJ26" s="84">
        <f t="shared" ref="CJ26" ca="1" si="868">AE26/(AE26+AE27)*(AE28-CJ25)</f>
        <v>859.8246778770216</v>
      </c>
      <c r="CK26" s="84">
        <f t="shared" ref="CK26" ca="1" si="869">AF26/(AF26+AF27)*(AF28-CK25)</f>
        <v>888.42311829319442</v>
      </c>
      <c r="CL26" s="84">
        <f t="shared" ref="CL26" ca="1" si="870">AG26/(AG26+AG27)*(AG28-CL25)</f>
        <v>1192.6399697889874</v>
      </c>
      <c r="CM26" s="84">
        <f t="shared" ref="CM26" ca="1" si="871">AH26/(AH26+AH27)*(AH28-CM25)</f>
        <v>1654.2792200966787</v>
      </c>
      <c r="CN26" s="118" t="str">
        <f t="shared" ca="1" si="765"/>
        <v xml:space="preserve">12.9 16.4 21.9 30.2 40.9 49.9 60.8 66.8 68.9 69.3 65.5 67.9 70.3 72.6 74.9 77.2 79.5 81.7 83.8 85.8 85.8 88.6 119 165.1 </v>
      </c>
      <c r="CO26" s="117">
        <f t="shared" ref="CO26:CO27" ca="1" si="872">ROUND(BP26*(1-AQ26)*(1-$AK26)/8.76,1)</f>
        <v>12.9</v>
      </c>
      <c r="CP26" s="117">
        <f t="shared" ca="1" si="766"/>
        <v>16.399999999999999</v>
      </c>
      <c r="CQ26" s="117">
        <f t="shared" ca="1" si="767"/>
        <v>21.9</v>
      </c>
      <c r="CR26" s="117">
        <f t="shared" ca="1" si="768"/>
        <v>30.2</v>
      </c>
      <c r="CS26" s="117">
        <f t="shared" ca="1" si="769"/>
        <v>40.9</v>
      </c>
      <c r="CT26" s="117">
        <f t="shared" ca="1" si="770"/>
        <v>49.9</v>
      </c>
      <c r="CU26" s="117">
        <f t="shared" ca="1" si="771"/>
        <v>60.8</v>
      </c>
      <c r="CV26" s="117">
        <f t="shared" ca="1" si="772"/>
        <v>66.8</v>
      </c>
      <c r="CW26" s="117">
        <f t="shared" ca="1" si="773"/>
        <v>68.900000000000006</v>
      </c>
      <c r="CX26" s="117">
        <f t="shared" ca="1" si="774"/>
        <v>69.3</v>
      </c>
      <c r="CY26" s="117">
        <f t="shared" ca="1" si="775"/>
        <v>65.5</v>
      </c>
      <c r="CZ26" s="117">
        <f t="shared" ca="1" si="776"/>
        <v>67.900000000000006</v>
      </c>
      <c r="DA26" s="117">
        <f t="shared" ca="1" si="777"/>
        <v>70.3</v>
      </c>
      <c r="DB26" s="117">
        <f t="shared" ca="1" si="778"/>
        <v>72.599999999999994</v>
      </c>
      <c r="DC26" s="117">
        <f t="shared" ca="1" si="779"/>
        <v>74.900000000000006</v>
      </c>
      <c r="DD26" s="117">
        <f t="shared" ca="1" si="780"/>
        <v>77.2</v>
      </c>
      <c r="DE26" s="117">
        <f t="shared" ref="DE26:DE27" ca="1" si="873">ROUND(CF26*(1-BG26)*(1-$AK26)/8.76,1)</f>
        <v>79.5</v>
      </c>
      <c r="DF26" s="117">
        <f t="shared" ca="1" si="781"/>
        <v>81.7</v>
      </c>
      <c r="DG26" s="117">
        <f t="shared" ca="1" si="782"/>
        <v>83.8</v>
      </c>
      <c r="DH26" s="117">
        <f t="shared" ref="DH26:DH27" ca="1" si="874">ROUND(CI26*(1-BJ26)*(1-$AK26)/8.76,1)</f>
        <v>85.8</v>
      </c>
      <c r="DI26" s="117">
        <f t="shared" ca="1" si="783"/>
        <v>85.8</v>
      </c>
      <c r="DJ26" s="117">
        <f t="shared" ref="DJ26:DJ27" ca="1" si="875">ROUND(CK26*(1-BL26)*(1-$AK26)/8.76,1)</f>
        <v>88.6</v>
      </c>
      <c r="DK26" s="117">
        <f t="shared" ref="DK26:DK27" ca="1" si="876">ROUND(CL26*(1-BM26)*(1-$AK26)/8.76,1)</f>
        <v>119</v>
      </c>
      <c r="DL26" s="117">
        <f t="shared" ca="1" si="784"/>
        <v>165.1</v>
      </c>
      <c r="DM26" s="118" t="str">
        <f t="shared" si="785"/>
        <v xml:space="preserve">0.75 0.765 0.78 0.795 0.81 0.825 0.84 0.855 0.87 0.885 0.9 0.902 0.904 0.906 0.908 0.91 0.912 0.914 0.916 0.918 0.92 0.92 0.92 0.92 </v>
      </c>
      <c r="DN26" s="72">
        <f t="shared" ref="DN26:DN27" si="877">1-AQ26</f>
        <v>0.75</v>
      </c>
      <c r="DO26" s="72">
        <f t="shared" si="786"/>
        <v>0.76500000000000001</v>
      </c>
      <c r="DP26" s="72">
        <f t="shared" si="787"/>
        <v>0.78</v>
      </c>
      <c r="DQ26" s="72">
        <f t="shared" si="788"/>
        <v>0.79500000000000004</v>
      </c>
      <c r="DR26" s="72">
        <f t="shared" si="789"/>
        <v>0.81</v>
      </c>
      <c r="DS26" s="72">
        <f t="shared" si="790"/>
        <v>0.82500000000000007</v>
      </c>
      <c r="DT26" s="72">
        <f t="shared" si="791"/>
        <v>0.84000000000000008</v>
      </c>
      <c r="DU26" s="72">
        <f t="shared" si="792"/>
        <v>0.85500000000000009</v>
      </c>
      <c r="DV26" s="72">
        <f t="shared" si="793"/>
        <v>0.87000000000000011</v>
      </c>
      <c r="DW26" s="72">
        <f t="shared" si="794"/>
        <v>0.88500000000000012</v>
      </c>
      <c r="DX26" s="72">
        <f t="shared" si="795"/>
        <v>0.9</v>
      </c>
      <c r="DY26" s="72">
        <f t="shared" si="796"/>
        <v>0.90200000000000002</v>
      </c>
      <c r="DZ26" s="72">
        <f t="shared" si="797"/>
        <v>0.90400000000000003</v>
      </c>
      <c r="EA26" s="72">
        <f t="shared" si="798"/>
        <v>0.90600000000000003</v>
      </c>
      <c r="EB26" s="72">
        <f t="shared" si="799"/>
        <v>0.90800000000000003</v>
      </c>
      <c r="EC26" s="72">
        <f t="shared" si="800"/>
        <v>0.91</v>
      </c>
      <c r="ED26" s="72">
        <f t="shared" si="801"/>
        <v>0.91200000000000003</v>
      </c>
      <c r="EE26" s="72">
        <f t="shared" si="802"/>
        <v>0.91400000000000003</v>
      </c>
      <c r="EF26" s="72">
        <f t="shared" si="803"/>
        <v>0.91600000000000004</v>
      </c>
      <c r="EG26" s="72">
        <f t="shared" si="804"/>
        <v>0.91800000000000004</v>
      </c>
      <c r="EH26" s="72">
        <f t="shared" si="805"/>
        <v>0.92</v>
      </c>
      <c r="EI26" s="72">
        <f t="shared" si="806"/>
        <v>0.92</v>
      </c>
      <c r="EJ26" s="72">
        <f t="shared" si="807"/>
        <v>0.92</v>
      </c>
      <c r="EK26" s="72">
        <f t="shared" si="808"/>
        <v>0.92</v>
      </c>
    </row>
    <row r="27" spans="1:141" x14ac:dyDescent="0.25">
      <c r="A27" t="str">
        <f t="shared" si="20"/>
        <v>RuralSIE</v>
      </c>
      <c r="B27" t="str">
        <f t="shared" si="762"/>
        <v>Rural</v>
      </c>
      <c r="C27" t="str">
        <f>IFERROR(VLOOKUP(D27,'For model'!$B$4:$C$16,2,FALSE),C26)</f>
        <v>SIE</v>
      </c>
      <c r="D27" t="s">
        <v>518</v>
      </c>
      <c r="E27" s="72">
        <v>0.02</v>
      </c>
      <c r="F27" s="72">
        <v>0.03</v>
      </c>
      <c r="G27" s="72">
        <v>0.05</v>
      </c>
      <c r="H27" s="72">
        <v>0.1</v>
      </c>
      <c r="I27" s="72">
        <v>0.1</v>
      </c>
      <c r="K27" s="72">
        <f t="shared" si="811"/>
        <v>0.02</v>
      </c>
      <c r="L27" s="72">
        <f t="shared" ref="L27:O27" si="878">($P27-$K27)/($P$4-$K$4)+K27</f>
        <v>2.1999999999999999E-2</v>
      </c>
      <c r="M27" s="72">
        <f t="shared" si="878"/>
        <v>2.3999999999999997E-2</v>
      </c>
      <c r="N27" s="72">
        <f t="shared" si="878"/>
        <v>2.5999999999999995E-2</v>
      </c>
      <c r="O27" s="72">
        <f t="shared" si="878"/>
        <v>2.7999999999999994E-2</v>
      </c>
      <c r="P27" s="72">
        <f t="shared" si="813"/>
        <v>0.03</v>
      </c>
      <c r="Q27" s="72">
        <f t="shared" ref="Q27:T27" si="879">($U27-$P27)/($U$4-$P$4)+P27</f>
        <v>3.4000000000000002E-2</v>
      </c>
      <c r="R27" s="72">
        <f t="shared" si="879"/>
        <v>3.8000000000000006E-2</v>
      </c>
      <c r="S27" s="72">
        <f t="shared" si="879"/>
        <v>4.200000000000001E-2</v>
      </c>
      <c r="T27" s="72">
        <f t="shared" si="879"/>
        <v>4.6000000000000013E-2</v>
      </c>
      <c r="U27" s="72">
        <f t="shared" si="815"/>
        <v>0.05</v>
      </c>
      <c r="V27" s="72">
        <f t="shared" si="816"/>
        <v>5.5E-2</v>
      </c>
      <c r="W27" s="72">
        <f t="shared" si="817"/>
        <v>0.06</v>
      </c>
      <c r="X27" s="72">
        <f t="shared" si="818"/>
        <v>6.5000000000000002E-2</v>
      </c>
      <c r="Y27" s="72">
        <f t="shared" si="819"/>
        <v>7.0000000000000007E-2</v>
      </c>
      <c r="Z27" s="72">
        <f t="shared" si="820"/>
        <v>7.5000000000000011E-2</v>
      </c>
      <c r="AA27" s="72">
        <f t="shared" si="821"/>
        <v>8.0000000000000016E-2</v>
      </c>
      <c r="AB27" s="72">
        <f t="shared" si="822"/>
        <v>8.500000000000002E-2</v>
      </c>
      <c r="AC27" s="72">
        <f t="shared" si="823"/>
        <v>9.0000000000000024E-2</v>
      </c>
      <c r="AD27" s="72">
        <f t="shared" si="824"/>
        <v>9.5000000000000029E-2</v>
      </c>
      <c r="AE27" s="72">
        <f t="shared" si="825"/>
        <v>0.1</v>
      </c>
      <c r="AF27" s="72">
        <f>(AH27-AE27)/(AH$4-AE$4)+AE27</f>
        <v>0.1</v>
      </c>
      <c r="AG27" s="72">
        <f t="shared" si="826"/>
        <v>0.1</v>
      </c>
      <c r="AH27" s="72">
        <f>I27</f>
        <v>0.1</v>
      </c>
      <c r="AJ27" s="116">
        <f>1-((1-AL27)*K27+(1-AL26)*K26+(1-AL25)*K25)*(1-AK25)</f>
        <v>0.28844999999999998</v>
      </c>
      <c r="AK27" s="72">
        <f>AK26</f>
        <v>0.05</v>
      </c>
      <c r="AL27" s="72">
        <v>0.3</v>
      </c>
      <c r="AM27" s="72">
        <v>0.2</v>
      </c>
      <c r="AN27" s="72">
        <v>0.2</v>
      </c>
      <c r="AO27" s="72">
        <f>AN27</f>
        <v>0.2</v>
      </c>
      <c r="AP27" s="118" t="str">
        <f>AQ27&amp;" "&amp;AR27&amp;" "&amp;AS27&amp;" "&amp;AT27&amp;" "&amp;AU27&amp;" "&amp;AV27&amp;" "&amp;AW27&amp;" "&amp;AX27&amp;" "&amp;AY27&amp;" "&amp;AZ27&amp;" "&amp;BA27&amp;" "&amp;BB27&amp;" "&amp;BC27&amp;" "&amp;BD27&amp;" "&amp;BE27&amp;" "&amp;BF27&amp;" "&amp;BG27&amp;" "&amp;BH27&amp;" "&amp;BI27&amp;" "&amp;BJ27&amp;" "&amp;BK27&amp;" "&amp;BL27&amp;" "&amp;BM27&amp;" "&amp;BN27&amp;" "</f>
        <v xml:space="preserve">0.3 0.29 0.28 0.27 0.26 0.25 0.24 0.23 0.22 0.21 0.2 0.2 0.2 0.2 0.2 0.2 0.2 0.2 0.2 0.2 0.2 0.2 0.2 0.2 </v>
      </c>
      <c r="AQ27" s="72">
        <f t="shared" si="827"/>
        <v>0.3</v>
      </c>
      <c r="AR27" s="72">
        <f t="shared" si="828"/>
        <v>0.28999999999999998</v>
      </c>
      <c r="AS27" s="72">
        <f t="shared" si="829"/>
        <v>0.27999999999999997</v>
      </c>
      <c r="AT27" s="72">
        <f t="shared" si="830"/>
        <v>0.26999999999999996</v>
      </c>
      <c r="AU27" s="72">
        <f t="shared" si="831"/>
        <v>0.25999999999999995</v>
      </c>
      <c r="AV27" s="72">
        <f t="shared" si="832"/>
        <v>0.24999999999999994</v>
      </c>
      <c r="AW27" s="72">
        <f t="shared" si="833"/>
        <v>0.23999999999999994</v>
      </c>
      <c r="AX27" s="72">
        <f t="shared" si="834"/>
        <v>0.22999999999999993</v>
      </c>
      <c r="AY27" s="72">
        <f t="shared" si="835"/>
        <v>0.21999999999999992</v>
      </c>
      <c r="AZ27" s="72">
        <f t="shared" si="836"/>
        <v>0.20999999999999991</v>
      </c>
      <c r="BA27" s="72">
        <f t="shared" si="837"/>
        <v>0.2</v>
      </c>
      <c r="BB27" s="72">
        <f t="shared" si="838"/>
        <v>0.2</v>
      </c>
      <c r="BC27" s="72">
        <f t="shared" si="839"/>
        <v>0.2</v>
      </c>
      <c r="BD27" s="72">
        <f t="shared" si="840"/>
        <v>0.2</v>
      </c>
      <c r="BE27" s="72">
        <f t="shared" si="841"/>
        <v>0.2</v>
      </c>
      <c r="BF27" s="72">
        <f t="shared" si="842"/>
        <v>0.2</v>
      </c>
      <c r="BG27" s="72">
        <f t="shared" si="843"/>
        <v>0.2</v>
      </c>
      <c r="BH27" s="72">
        <f t="shared" si="844"/>
        <v>0.2</v>
      </c>
      <c r="BI27" s="72">
        <f t="shared" si="845"/>
        <v>0.2</v>
      </c>
      <c r="BJ27" s="72">
        <f t="shared" si="846"/>
        <v>0.2</v>
      </c>
      <c r="BK27" s="72">
        <f t="shared" si="847"/>
        <v>0.2</v>
      </c>
      <c r="BL27" s="72">
        <f>(BN27-BK27)/(BN$4-BK$4)+BK27</f>
        <v>0.2</v>
      </c>
      <c r="BM27" s="72">
        <f t="shared" si="848"/>
        <v>0.2</v>
      </c>
      <c r="BN27" s="72">
        <f>AO27</f>
        <v>0.2</v>
      </c>
      <c r="BP27" s="84">
        <f ca="1">K27/(K26+K27)*(K28-BP25)</f>
        <v>3.24</v>
      </c>
      <c r="BQ27" s="84">
        <f t="shared" ref="BQ27" ca="1" si="880">L27/(L26+L27)*(L28-BQ25)</f>
        <v>4.8343758498776177</v>
      </c>
      <c r="BR27" s="84">
        <f t="shared" ref="BR27" ca="1" si="881">M27/(M26+M27)*(M28-BR25)</f>
        <v>7.6422182468694091</v>
      </c>
      <c r="BS27" s="84">
        <f t="shared" ref="BS27" ca="1" si="882">N27/(N26+N27)*(N28-BS25)</f>
        <v>12.455295282085116</v>
      </c>
      <c r="BT27" s="84">
        <f t="shared" ref="BT27" ca="1" si="883">O27/(O26+O27)*(O28-BT25)</f>
        <v>20.100443131462328</v>
      </c>
      <c r="BU27" s="84">
        <f t="shared" ref="BU27" ca="1" si="884">P27/(P26+P27)*(P28-BU25)</f>
        <v>29.534591194968556</v>
      </c>
      <c r="BV27" s="84">
        <f t="shared" ref="BV27" ca="1" si="885">Q27/(Q26+Q27)*(Q28-BV25)</f>
        <v>47.15809893307469</v>
      </c>
      <c r="BW27" s="84">
        <f t="shared" ref="BW27" ca="1" si="886">R27/(R26+R27)*(R28-BW25)</f>
        <v>68.963772282921227</v>
      </c>
      <c r="BX27" s="84">
        <f t="shared" ref="BX27" ca="1" si="887">S27/(S26+S27)*(S28-BX25)</f>
        <v>98.237288135593246</v>
      </c>
      <c r="BY27" s="84">
        <f t="shared" ref="BY27" ca="1" si="888">T27/(T26+T27)*(T28-BY25)</f>
        <v>146.12259835315649</v>
      </c>
      <c r="BZ27" s="84">
        <f t="shared" ref="BZ27" ca="1" si="889">U27/(U26+U27)*(U28-BZ25)</f>
        <v>235.58441558441561</v>
      </c>
      <c r="CA27" s="84">
        <f t="shared" ref="CA27" ca="1" si="890">V27/(V26+V27)*(V28-CA25)</f>
        <v>262.71524831544792</v>
      </c>
      <c r="CB27" s="84">
        <f t="shared" ref="CB27" ca="1" si="891">W27/(W26+W27)*(W28-CB25)</f>
        <v>290.20172910662825</v>
      </c>
      <c r="CC27" s="84">
        <f t="shared" ref="CC27" ca="1" si="892">X27/(X26+X27)*(X28-CC25)</f>
        <v>318.00509141402455</v>
      </c>
      <c r="CD27" s="84">
        <f t="shared" ref="CD27" ca="1" si="893">Y27/(Y26+Y27)*(Y28-CD25)</f>
        <v>346.09200535953556</v>
      </c>
      <c r="CE27" s="84">
        <f t="shared" ref="CE27" ca="1" si="894">Z27/(Z26+Z27)*(Z28-CE25)</f>
        <v>374.43365695792892</v>
      </c>
      <c r="CF27" s="84">
        <f t="shared" ref="CF27" ca="1" si="895">AA27/(AA26+AA27)*(AA28-CF25)</f>
        <v>402.80430050223987</v>
      </c>
      <c r="CG27" s="84">
        <f t="shared" ref="CG27" ca="1" si="896">AB27/(AB26+AB27)*(AB28-CG25)</f>
        <v>431.11825522929814</v>
      </c>
      <c r="CH27" s="84">
        <f t="shared" ref="CH27" ca="1" si="897">AC27/(AC26+AC27)*(AC28-CH25)</f>
        <v>459.24547017764905</v>
      </c>
      <c r="CI27" s="84">
        <f t="shared" ref="CI27" ca="1" si="898">AD27/(AD26+AD27)*(AD28-CI25)</f>
        <v>487.0501005811052</v>
      </c>
      <c r="CJ27" s="84">
        <f t="shared" ref="CJ27" ca="1" si="899">AE27/(AE26+AE27)*(AE28-CJ25)</f>
        <v>502.82144905089012</v>
      </c>
      <c r="CK27" s="84">
        <f t="shared" ref="CK27" ca="1" si="900">AF27/(AF26+AF27)*(AF28-CK25)</f>
        <v>519.54568321239469</v>
      </c>
      <c r="CL27" s="84">
        <f t="shared" ref="CL27" ca="1" si="901">AG27/(AG26+AG27)*(AG28-CL25)</f>
        <v>697.45027473040238</v>
      </c>
      <c r="CM27" s="84">
        <f t="shared" ref="CM27" ca="1" si="902">AH27/(AH26+AH27)*(AH28-CM25)</f>
        <v>967.41474859454956</v>
      </c>
      <c r="CN27" s="118" t="str">
        <f t="shared" ca="1" si="765"/>
        <v xml:space="preserve">0.2 0.4 0.6 1 1.6 2.4 3.9 5.8 8.3 12.5 20.4 22.8 25.2 27.6 30 32.5 34.9 37.4 39.8 42.3 43.6 45.1 60.5 83.9 </v>
      </c>
      <c r="CO27" s="117">
        <f t="shared" ca="1" si="872"/>
        <v>0.2</v>
      </c>
      <c r="CP27" s="117">
        <f t="shared" ca="1" si="766"/>
        <v>0.4</v>
      </c>
      <c r="CQ27" s="117">
        <f t="shared" ca="1" si="767"/>
        <v>0.6</v>
      </c>
      <c r="CR27" s="117">
        <f t="shared" ca="1" si="768"/>
        <v>1</v>
      </c>
      <c r="CS27" s="117">
        <f t="shared" ca="1" si="769"/>
        <v>1.6</v>
      </c>
      <c r="CT27" s="117">
        <f t="shared" ca="1" si="770"/>
        <v>2.4</v>
      </c>
      <c r="CU27" s="117">
        <f t="shared" ca="1" si="771"/>
        <v>3.9</v>
      </c>
      <c r="CV27" s="117">
        <f t="shared" ca="1" si="772"/>
        <v>5.8</v>
      </c>
      <c r="CW27" s="117">
        <f t="shared" ca="1" si="773"/>
        <v>8.3000000000000007</v>
      </c>
      <c r="CX27" s="117">
        <f t="shared" ca="1" si="774"/>
        <v>12.5</v>
      </c>
      <c r="CY27" s="117">
        <f t="shared" ca="1" si="775"/>
        <v>20.399999999999999</v>
      </c>
      <c r="CZ27" s="117">
        <f t="shared" ca="1" si="776"/>
        <v>22.8</v>
      </c>
      <c r="DA27" s="117">
        <f t="shared" ca="1" si="777"/>
        <v>25.2</v>
      </c>
      <c r="DB27" s="117">
        <f t="shared" ca="1" si="778"/>
        <v>27.6</v>
      </c>
      <c r="DC27" s="117">
        <f t="shared" ca="1" si="779"/>
        <v>30</v>
      </c>
      <c r="DD27" s="117">
        <f t="shared" ca="1" si="780"/>
        <v>32.5</v>
      </c>
      <c r="DE27" s="117">
        <f t="shared" ca="1" si="873"/>
        <v>34.9</v>
      </c>
      <c r="DF27" s="117">
        <f t="shared" ca="1" si="781"/>
        <v>37.4</v>
      </c>
      <c r="DG27" s="117">
        <f t="shared" ca="1" si="782"/>
        <v>39.799999999999997</v>
      </c>
      <c r="DH27" s="117">
        <f t="shared" ca="1" si="874"/>
        <v>42.3</v>
      </c>
      <c r="DI27" s="117">
        <f t="shared" ca="1" si="783"/>
        <v>43.6</v>
      </c>
      <c r="DJ27" s="117">
        <f t="shared" ca="1" si="875"/>
        <v>45.1</v>
      </c>
      <c r="DK27" s="117">
        <f t="shared" ca="1" si="876"/>
        <v>60.5</v>
      </c>
      <c r="DL27" s="117">
        <f t="shared" ca="1" si="784"/>
        <v>83.9</v>
      </c>
      <c r="DM27" s="118" t="str">
        <f t="shared" si="785"/>
        <v xml:space="preserve">0.7 0.71 0.72 0.73 0.74 0.75 0.76 0.77 0.78 0.79 0.8 0.8 0.8 0.8 0.8 0.8 0.8 0.8 0.8 0.8 0.8 0.8 0.8 0.8 </v>
      </c>
      <c r="DN27" s="72">
        <f t="shared" si="877"/>
        <v>0.7</v>
      </c>
      <c r="DO27" s="72">
        <f t="shared" si="786"/>
        <v>0.71</v>
      </c>
      <c r="DP27" s="72">
        <f t="shared" si="787"/>
        <v>0.72</v>
      </c>
      <c r="DQ27" s="72">
        <f t="shared" si="788"/>
        <v>0.73</v>
      </c>
      <c r="DR27" s="72">
        <f t="shared" si="789"/>
        <v>0.74</v>
      </c>
      <c r="DS27" s="72">
        <f t="shared" si="790"/>
        <v>0.75</v>
      </c>
      <c r="DT27" s="72">
        <f t="shared" si="791"/>
        <v>0.76</v>
      </c>
      <c r="DU27" s="72">
        <f t="shared" si="792"/>
        <v>0.77</v>
      </c>
      <c r="DV27" s="72">
        <f t="shared" si="793"/>
        <v>0.78</v>
      </c>
      <c r="DW27" s="72">
        <f t="shared" si="794"/>
        <v>0.79</v>
      </c>
      <c r="DX27" s="72">
        <f t="shared" si="795"/>
        <v>0.8</v>
      </c>
      <c r="DY27" s="72">
        <f t="shared" si="796"/>
        <v>0.8</v>
      </c>
      <c r="DZ27" s="72">
        <f t="shared" si="797"/>
        <v>0.8</v>
      </c>
      <c r="EA27" s="72">
        <f t="shared" si="798"/>
        <v>0.8</v>
      </c>
      <c r="EB27" s="72">
        <f t="shared" si="799"/>
        <v>0.8</v>
      </c>
      <c r="EC27" s="72">
        <f t="shared" si="800"/>
        <v>0.8</v>
      </c>
      <c r="ED27" s="72">
        <f t="shared" si="801"/>
        <v>0.8</v>
      </c>
      <c r="EE27" s="72">
        <f t="shared" si="802"/>
        <v>0.8</v>
      </c>
      <c r="EF27" s="72">
        <f t="shared" si="803"/>
        <v>0.8</v>
      </c>
      <c r="EG27" s="72">
        <f t="shared" si="804"/>
        <v>0.8</v>
      </c>
      <c r="EH27" s="72">
        <f t="shared" si="805"/>
        <v>0.8</v>
      </c>
      <c r="EI27" s="72">
        <f t="shared" si="806"/>
        <v>0.8</v>
      </c>
      <c r="EJ27" s="72">
        <f t="shared" si="807"/>
        <v>0.8</v>
      </c>
      <c r="EK27" s="72">
        <f t="shared" si="808"/>
        <v>0.8</v>
      </c>
    </row>
    <row r="28" spans="1:141" x14ac:dyDescent="0.25">
      <c r="A28" t="str">
        <f t="shared" si="20"/>
        <v>SIE</v>
      </c>
      <c r="C28" t="str">
        <f>IFERROR(VLOOKUP(D28,'For model'!$B$4:$C$16,2,FALSE),C27)</f>
        <v>SIE</v>
      </c>
      <c r="D28" t="s">
        <v>537</v>
      </c>
      <c r="K28" s="84">
        <f ca="1">OFFSET(SourceData!$BS$4,MATCH(K24,SourceData!$BS$5:$BS$28,0),MATCH($C28,SourceData!$BT$3:$CF$3,0))</f>
        <v>162</v>
      </c>
      <c r="L28" s="84">
        <f ca="1">OFFSET(SourceData!$BS$4,MATCH(L24,SourceData!$BS$5:$BS$28,0),MATCH($C28,SourceData!$BT$3:$CF$3,0))</f>
        <v>552</v>
      </c>
      <c r="M28" s="84">
        <f ca="1">OFFSET(SourceData!$BS$4,MATCH(M24,SourceData!$BS$5:$BS$28,0),MATCH($C28,SourceData!$BT$3:$CF$3,0))</f>
        <v>617</v>
      </c>
      <c r="N28" s="84">
        <f ca="1">OFFSET(SourceData!$BS$4,MATCH(N24,SourceData!$BS$5:$BS$28,0),MATCH($C28,SourceData!$BT$3:$CF$3,0))</f>
        <v>994</v>
      </c>
      <c r="O28" s="84">
        <f ca="1">OFFSET(SourceData!$BS$4,MATCH(O24,SourceData!$BS$5:$BS$28,0),MATCH($C28,SourceData!$BT$3:$CF$3,0))</f>
        <v>1397</v>
      </c>
      <c r="P28" s="84">
        <f ca="1">OFFSET(SourceData!$BS$4,MATCH(P24,SourceData!$BS$5:$BS$28,0),MATCH($C28,SourceData!$BT$3:$CF$3,0))</f>
        <v>1498</v>
      </c>
      <c r="Q28" s="84">
        <f ca="1">OFFSET(SourceData!$BS$4,MATCH(Q24,SourceData!$BS$5:$BS$28,0),MATCH($C28,SourceData!$BT$3:$CF$3,0))</f>
        <v>2327</v>
      </c>
      <c r="R28" s="84">
        <f ca="1">OFFSET(SourceData!$BS$4,MATCH(R24,SourceData!$BS$5:$BS$28,0),MATCH($C28,SourceData!$BT$3:$CF$3,0))</f>
        <v>3102</v>
      </c>
      <c r="S28" s="84">
        <f ca="1">OFFSET(SourceData!$BS$4,MATCH(S24,SourceData!$BS$5:$BS$28,0),MATCH($C28,SourceData!$BT$3:$CF$3,0))</f>
        <v>3841</v>
      </c>
      <c r="T28" s="84">
        <f ca="1">OFFSET(SourceData!$BS$4,MATCH(T24,SourceData!$BS$5:$BS$28,0),MATCH($C28,SourceData!$BT$3:$CF$3,0))</f>
        <v>5003</v>
      </c>
      <c r="U28" s="84">
        <f ca="1">OFFSET(SourceData!$BS$4,MATCH(U24,SourceData!$BS$5:$BS$28,0),MATCH($C28,SourceData!$BT$3:$CF$3,0))</f>
        <v>6163</v>
      </c>
      <c r="V28" s="84">
        <f ca="1">OFFSET(SourceData!$BS$4,MATCH(V24,SourceData!$BS$5:$BS$28,0),MATCH($C28,SourceData!$BT$3:$CF$3,0))</f>
        <v>6213</v>
      </c>
      <c r="W28" s="84">
        <f ca="1">OFFSET(SourceData!$BS$4,MATCH(W24,SourceData!$BS$5:$BS$28,0),MATCH($C28,SourceData!$BT$3:$CF$3,0))</f>
        <v>6263</v>
      </c>
      <c r="X28" s="84">
        <f ca="1">OFFSET(SourceData!$BS$4,MATCH(X24,SourceData!$BS$5:$BS$28,0),MATCH($C28,SourceData!$BT$3:$CF$3,0))</f>
        <v>6313</v>
      </c>
      <c r="Y28" s="84">
        <f ca="1">OFFSET(SourceData!$BS$4,MATCH(Y24,SourceData!$BS$5:$BS$28,0),MATCH($C28,SourceData!$BT$3:$CF$3,0))</f>
        <v>6363</v>
      </c>
      <c r="Z28" s="84">
        <f ca="1">OFFSET(SourceData!$BS$4,MATCH(Z24,SourceData!$BS$5:$BS$28,0),MATCH($C28,SourceData!$BT$3:$CF$3,0))</f>
        <v>6413</v>
      </c>
      <c r="AA28" s="84">
        <f ca="1">OFFSET(SourceData!$BS$4,MATCH(AA24,SourceData!$BS$5:$BS$28,0),MATCH($C28,SourceData!$BT$3:$CF$3,0))</f>
        <v>6462.398880004208</v>
      </c>
      <c r="AB28" s="84">
        <f ca="1">OFFSET(SourceData!$BS$4,MATCH(AB24,SourceData!$BS$5:$BS$28,0),MATCH($C28,SourceData!$BT$3:$CF$3,0))</f>
        <v>6511.0613206645858</v>
      </c>
      <c r="AC28" s="84">
        <f ca="1">OFFSET(SourceData!$BS$4,MATCH(AC24,SourceData!$BS$5:$BS$28,0),MATCH($C28,SourceData!$BT$3:$CF$3,0))</f>
        <v>6558.7263170705974</v>
      </c>
      <c r="AD28" s="84">
        <f ca="1">OFFSET(SourceData!$BS$4,MATCH(AD24,SourceData!$BS$5:$BS$28,0),MATCH($C28,SourceData!$BT$3:$CF$3,0))</f>
        <v>6605.1287786096609</v>
      </c>
      <c r="AE28" s="84">
        <f ca="1">OFFSET(SourceData!$BS$4,MATCH(AE24,SourceData!$BS$5:$BS$28,0),MATCH($C28,SourceData!$BT$3:$CF$3,0))</f>
        <v>6618.6461269279116</v>
      </c>
      <c r="AF28" s="84">
        <f ca="1">OFFSET(SourceData!$BS$4,MATCH(AF24,SourceData!$BS$5:$BS$28,0),MATCH($C28,SourceData!$BT$3:$CF$3,0))</f>
        <v>6663.968801505589</v>
      </c>
      <c r="AG28" s="84">
        <f ca="1">OFFSET(SourceData!$BS$4,MATCH(AG24,SourceData!$BS$5:$BS$28,0),MATCH($C28,SourceData!$BT$3:$CF$3,0))</f>
        <v>7146.0902445193897</v>
      </c>
      <c r="AH28" s="84">
        <f ca="1">OFFSET(SourceData!$BS$4,MATCH(AH24,SourceData!$BS$5:$BS$28,0),MATCH($C28,SourceData!$BT$3:$CF$3,0))</f>
        <v>7877.6939686912283</v>
      </c>
      <c r="BP28" s="84">
        <f ca="1">SUM(BP25:BP27)</f>
        <v>162</v>
      </c>
      <c r="BQ28" s="84">
        <f t="shared" ref="BQ28" ca="1" si="903">SUM(BQ25:BQ27)</f>
        <v>551.99999999999989</v>
      </c>
      <c r="BR28" s="84">
        <f t="shared" ref="BR28" ca="1" si="904">SUM(BR25:BR27)</f>
        <v>617</v>
      </c>
      <c r="BS28" s="84">
        <f t="shared" ref="BS28" ca="1" si="905">SUM(BS25:BS27)</f>
        <v>994</v>
      </c>
      <c r="BT28" s="84">
        <f t="shared" ref="BT28" ca="1" si="906">SUM(BT25:BT27)</f>
        <v>1397</v>
      </c>
      <c r="BU28" s="84">
        <f t="shared" ref="BU28" ca="1" si="907">SUM(BU25:BU27)</f>
        <v>1498</v>
      </c>
      <c r="BV28" s="84">
        <f t="shared" ref="BV28" ca="1" si="908">SUM(BV25:BV27)</f>
        <v>2327</v>
      </c>
      <c r="BW28" s="84">
        <f t="shared" ref="BW28" ca="1" si="909">SUM(BW25:BW27)</f>
        <v>3102</v>
      </c>
      <c r="BX28" s="84">
        <f t="shared" ref="BX28" ca="1" si="910">SUM(BX25:BX27)</f>
        <v>3841</v>
      </c>
      <c r="BY28" s="84">
        <f t="shared" ref="BY28" ca="1" si="911">SUM(BY25:BY27)</f>
        <v>5003</v>
      </c>
      <c r="BZ28" s="84">
        <f t="shared" ref="BZ28" ca="1" si="912">SUM(BZ25:BZ27)</f>
        <v>6163</v>
      </c>
      <c r="CA28" s="84">
        <f t="shared" ref="CA28" ca="1" si="913">SUM(CA25:CA27)</f>
        <v>6213</v>
      </c>
      <c r="CB28" s="84">
        <f t="shared" ref="CB28" ca="1" si="914">SUM(CB25:CB27)</f>
        <v>6263.0000000000009</v>
      </c>
      <c r="CC28" s="84">
        <f t="shared" ref="CC28" ca="1" si="915">SUM(CC25:CC27)</f>
        <v>6313</v>
      </c>
      <c r="CD28" s="84">
        <f t="shared" ref="CD28" ca="1" si="916">SUM(CD25:CD27)</f>
        <v>6363</v>
      </c>
      <c r="CE28" s="84">
        <f t="shared" ref="CE28" ca="1" si="917">SUM(CE25:CE27)</f>
        <v>6413</v>
      </c>
      <c r="CF28" s="84">
        <f t="shared" ref="CF28" ca="1" si="918">SUM(CF25:CF27)</f>
        <v>6462.398880004208</v>
      </c>
      <c r="CG28" s="84">
        <f t="shared" ref="CG28" ca="1" si="919">SUM(CG25:CG27)</f>
        <v>6511.0613206645858</v>
      </c>
      <c r="CH28" s="84">
        <f t="shared" ref="CH28" ca="1" si="920">SUM(CH25:CH27)</f>
        <v>6558.7263170705974</v>
      </c>
      <c r="CI28" s="84">
        <f t="shared" ref="CI28" ca="1" si="921">SUM(CI25:CI27)</f>
        <v>6605.12877860966</v>
      </c>
      <c r="CJ28" s="84">
        <f t="shared" ref="CJ28" ca="1" si="922">SUM(CJ25:CJ27)</f>
        <v>6618.6461269279116</v>
      </c>
      <c r="CK28" s="84">
        <f t="shared" ref="CK28" ca="1" si="923">SUM(CK25:CK27)</f>
        <v>6663.968801505589</v>
      </c>
      <c r="CL28" s="84">
        <f t="shared" ref="CL28" ca="1" si="924">SUM(CL25:CL27)</f>
        <v>7146.0902445193897</v>
      </c>
      <c r="CM28" s="84">
        <f t="shared" ref="CM28" ca="1" si="925">SUM(CM25:CM27)</f>
        <v>7877.6939686912283</v>
      </c>
    </row>
    <row r="29" spans="1:141" x14ac:dyDescent="0.25">
      <c r="A29" t="str">
        <f t="shared" si="20"/>
        <v>LIB</v>
      </c>
      <c r="C29" t="str">
        <f>IFERROR(VLOOKUP(D29,'For model'!$B$4:$C$16,2,FALSE),C28)</f>
        <v>LIB</v>
      </c>
      <c r="D29" s="92" t="s">
        <v>76</v>
      </c>
      <c r="E29">
        <v>2010</v>
      </c>
      <c r="F29">
        <v>2015</v>
      </c>
      <c r="G29">
        <v>2020</v>
      </c>
      <c r="H29">
        <v>2030</v>
      </c>
      <c r="I29">
        <f>I24</f>
        <v>2050</v>
      </c>
      <c r="K29">
        <v>2010</v>
      </c>
      <c r="L29">
        <f>K29+1</f>
        <v>2011</v>
      </c>
      <c r="M29">
        <f t="shared" ref="M29:U29" si="926">L29+1</f>
        <v>2012</v>
      </c>
      <c r="N29">
        <f t="shared" si="926"/>
        <v>2013</v>
      </c>
      <c r="O29">
        <f t="shared" si="926"/>
        <v>2014</v>
      </c>
      <c r="P29">
        <f t="shared" si="926"/>
        <v>2015</v>
      </c>
      <c r="Q29">
        <f t="shared" si="926"/>
        <v>2016</v>
      </c>
      <c r="R29">
        <f t="shared" si="926"/>
        <v>2017</v>
      </c>
      <c r="S29">
        <f t="shared" si="926"/>
        <v>2018</v>
      </c>
      <c r="T29">
        <f t="shared" si="926"/>
        <v>2019</v>
      </c>
      <c r="U29">
        <f t="shared" si="926"/>
        <v>2020</v>
      </c>
      <c r="V29">
        <f t="shared" ref="V29:AF29" si="927">U29+1</f>
        <v>2021</v>
      </c>
      <c r="W29">
        <f t="shared" si="927"/>
        <v>2022</v>
      </c>
      <c r="X29">
        <f t="shared" si="927"/>
        <v>2023</v>
      </c>
      <c r="Y29">
        <f t="shared" si="927"/>
        <v>2024</v>
      </c>
      <c r="Z29">
        <f t="shared" si="927"/>
        <v>2025</v>
      </c>
      <c r="AA29">
        <f t="shared" si="927"/>
        <v>2026</v>
      </c>
      <c r="AB29">
        <f t="shared" si="927"/>
        <v>2027</v>
      </c>
      <c r="AC29">
        <f t="shared" si="927"/>
        <v>2028</v>
      </c>
      <c r="AD29">
        <f t="shared" si="927"/>
        <v>2029</v>
      </c>
      <c r="AE29">
        <f t="shared" si="927"/>
        <v>2030</v>
      </c>
      <c r="AF29">
        <f t="shared" si="927"/>
        <v>2031</v>
      </c>
      <c r="AG29">
        <v>2040</v>
      </c>
      <c r="AH29">
        <v>2050</v>
      </c>
      <c r="AL29">
        <f>E29</f>
        <v>2010</v>
      </c>
      <c r="AM29">
        <f>G29</f>
        <v>2020</v>
      </c>
      <c r="AN29">
        <f>H29</f>
        <v>2030</v>
      </c>
      <c r="AO29">
        <f>I29</f>
        <v>2050</v>
      </c>
      <c r="AQ29">
        <v>2010</v>
      </c>
      <c r="AR29">
        <f>AQ29+1</f>
        <v>2011</v>
      </c>
      <c r="AS29">
        <f t="shared" ref="AS29:BL29" si="928">AR29+1</f>
        <v>2012</v>
      </c>
      <c r="AT29">
        <f t="shared" si="928"/>
        <v>2013</v>
      </c>
      <c r="AU29">
        <f t="shared" si="928"/>
        <v>2014</v>
      </c>
      <c r="AV29">
        <f t="shared" si="928"/>
        <v>2015</v>
      </c>
      <c r="AW29">
        <f t="shared" si="928"/>
        <v>2016</v>
      </c>
      <c r="AX29">
        <f t="shared" si="928"/>
        <v>2017</v>
      </c>
      <c r="AY29">
        <f t="shared" si="928"/>
        <v>2018</v>
      </c>
      <c r="AZ29">
        <f t="shared" si="928"/>
        <v>2019</v>
      </c>
      <c r="BA29">
        <f t="shared" si="928"/>
        <v>2020</v>
      </c>
      <c r="BB29">
        <f t="shared" si="928"/>
        <v>2021</v>
      </c>
      <c r="BC29">
        <f t="shared" si="928"/>
        <v>2022</v>
      </c>
      <c r="BD29">
        <f t="shared" si="928"/>
        <v>2023</v>
      </c>
      <c r="BE29">
        <f t="shared" si="928"/>
        <v>2024</v>
      </c>
      <c r="BF29">
        <f t="shared" si="928"/>
        <v>2025</v>
      </c>
      <c r="BG29">
        <f t="shared" si="928"/>
        <v>2026</v>
      </c>
      <c r="BH29">
        <f t="shared" si="928"/>
        <v>2027</v>
      </c>
      <c r="BI29">
        <f t="shared" si="928"/>
        <v>2028</v>
      </c>
      <c r="BJ29">
        <f t="shared" si="928"/>
        <v>2029</v>
      </c>
      <c r="BK29">
        <f t="shared" si="928"/>
        <v>2030</v>
      </c>
      <c r="BL29">
        <f t="shared" si="928"/>
        <v>2031</v>
      </c>
      <c r="BM29">
        <v>2040</v>
      </c>
      <c r="BN29">
        <v>2050</v>
      </c>
      <c r="BP29">
        <f>AQ29</f>
        <v>2010</v>
      </c>
      <c r="BQ29">
        <f t="shared" ref="BQ29" si="929">AR29</f>
        <v>2011</v>
      </c>
      <c r="BR29">
        <f t="shared" ref="BR29" si="930">AS29</f>
        <v>2012</v>
      </c>
      <c r="BS29">
        <f t="shared" ref="BS29" si="931">AT29</f>
        <v>2013</v>
      </c>
      <c r="BT29">
        <f t="shared" ref="BT29" si="932">AU29</f>
        <v>2014</v>
      </c>
      <c r="BU29">
        <f t="shared" ref="BU29" si="933">AV29</f>
        <v>2015</v>
      </c>
      <c r="BV29">
        <f t="shared" ref="BV29" si="934">AW29</f>
        <v>2016</v>
      </c>
      <c r="BW29">
        <f t="shared" ref="BW29" si="935">AX29</f>
        <v>2017</v>
      </c>
      <c r="BX29">
        <f t="shared" ref="BX29" si="936">AY29</f>
        <v>2018</v>
      </c>
      <c r="BY29">
        <f t="shared" ref="BY29" si="937">AZ29</f>
        <v>2019</v>
      </c>
      <c r="BZ29">
        <f t="shared" ref="BZ29" si="938">BA29</f>
        <v>2020</v>
      </c>
      <c r="CA29">
        <f t="shared" ref="CA29" si="939">BB29</f>
        <v>2021</v>
      </c>
      <c r="CB29">
        <f t="shared" ref="CB29" si="940">BC29</f>
        <v>2022</v>
      </c>
      <c r="CC29">
        <f t="shared" ref="CC29" si="941">BD29</f>
        <v>2023</v>
      </c>
      <c r="CD29">
        <f t="shared" ref="CD29" si="942">BE29</f>
        <v>2024</v>
      </c>
      <c r="CE29">
        <f t="shared" ref="CE29" si="943">BF29</f>
        <v>2025</v>
      </c>
      <c r="CF29">
        <f t="shared" ref="CF29" si="944">BG29</f>
        <v>2026</v>
      </c>
      <c r="CG29">
        <f t="shared" ref="CG29" si="945">BH29</f>
        <v>2027</v>
      </c>
      <c r="CH29">
        <f t="shared" ref="CH29" si="946">BI29</f>
        <v>2028</v>
      </c>
      <c r="CI29">
        <f t="shared" ref="CI29" si="947">BJ29</f>
        <v>2029</v>
      </c>
      <c r="CJ29">
        <f t="shared" ref="CJ29" si="948">BK29</f>
        <v>2030</v>
      </c>
      <c r="CK29">
        <f t="shared" ref="CK29" si="949">BL29</f>
        <v>2031</v>
      </c>
      <c r="CL29">
        <f t="shared" ref="CL29" si="950">BM29</f>
        <v>2040</v>
      </c>
      <c r="CM29">
        <f t="shared" ref="CM29" si="951">BN29</f>
        <v>2050</v>
      </c>
      <c r="CO29">
        <f>BP29</f>
        <v>2010</v>
      </c>
      <c r="CP29">
        <f t="shared" ref="CP29" si="952">BQ29</f>
        <v>2011</v>
      </c>
      <c r="CQ29">
        <f t="shared" ref="CQ29" si="953">BR29</f>
        <v>2012</v>
      </c>
      <c r="CR29">
        <f t="shared" ref="CR29" si="954">BS29</f>
        <v>2013</v>
      </c>
      <c r="CS29">
        <f t="shared" ref="CS29" si="955">BT29</f>
        <v>2014</v>
      </c>
      <c r="CT29">
        <f t="shared" ref="CT29" si="956">BU29</f>
        <v>2015</v>
      </c>
      <c r="CU29">
        <f t="shared" ref="CU29" si="957">BV29</f>
        <v>2016</v>
      </c>
      <c r="CV29">
        <f t="shared" ref="CV29" si="958">BW29</f>
        <v>2017</v>
      </c>
      <c r="CW29">
        <f t="shared" ref="CW29" si="959">BX29</f>
        <v>2018</v>
      </c>
      <c r="CX29">
        <f t="shared" ref="CX29" si="960">BY29</f>
        <v>2019</v>
      </c>
      <c r="CY29">
        <f t="shared" ref="CY29" si="961">BZ29</f>
        <v>2020</v>
      </c>
      <c r="CZ29">
        <f t="shared" ref="CZ29" si="962">CA29</f>
        <v>2021</v>
      </c>
      <c r="DA29">
        <f t="shared" ref="DA29" si="963">CB29</f>
        <v>2022</v>
      </c>
      <c r="DB29">
        <f t="shared" ref="DB29" si="964">CC29</f>
        <v>2023</v>
      </c>
      <c r="DC29">
        <f t="shared" ref="DC29" si="965">CD29</f>
        <v>2024</v>
      </c>
      <c r="DD29">
        <f t="shared" ref="DD29" si="966">CE29</f>
        <v>2025</v>
      </c>
      <c r="DE29">
        <f>CF29</f>
        <v>2026</v>
      </c>
      <c r="DF29">
        <f t="shared" ref="DF29" si="967">CG29</f>
        <v>2027</v>
      </c>
      <c r="DG29">
        <f t="shared" ref="DG29" si="968">CH29</f>
        <v>2028</v>
      </c>
      <c r="DH29">
        <f>CI29</f>
        <v>2029</v>
      </c>
      <c r="DI29">
        <f t="shared" ref="DI29" si="969">CJ29</f>
        <v>2030</v>
      </c>
      <c r="DJ29">
        <f>CK29</f>
        <v>2031</v>
      </c>
      <c r="DK29">
        <f>CL29</f>
        <v>2040</v>
      </c>
      <c r="DL29">
        <f t="shared" ref="DL29" si="970">CM29</f>
        <v>2050</v>
      </c>
    </row>
    <row r="30" spans="1:141" x14ac:dyDescent="0.25">
      <c r="A30" t="str">
        <f t="shared" si="20"/>
        <v>Heavy IndustryLIB</v>
      </c>
      <c r="B30" t="str">
        <f t="shared" ref="B30:B32" si="971">B25</f>
        <v>Heavy Industry</v>
      </c>
      <c r="C30" t="str">
        <f>IFERROR(VLOOKUP(D30,'For model'!$B$4:$C$16,2,FALSE),C29)</f>
        <v>LIB</v>
      </c>
      <c r="D30" t="s">
        <v>533</v>
      </c>
      <c r="E30" s="72">
        <v>0</v>
      </c>
      <c r="F30" s="72">
        <f>G30/2</f>
        <v>0.39899999999999997</v>
      </c>
      <c r="G30" s="72">
        <f>84%*95%</f>
        <v>0.79799999999999993</v>
      </c>
      <c r="H30" s="72">
        <f>79%*90%</f>
        <v>0.71100000000000008</v>
      </c>
      <c r="I30" s="72">
        <f>79%*90%</f>
        <v>0.71100000000000008</v>
      </c>
      <c r="K30" s="72">
        <f>E30</f>
        <v>0</v>
      </c>
      <c r="L30" s="72">
        <f>($P30-$K30)/($P$4-$K$4)+K30</f>
        <v>7.9799999999999996E-2</v>
      </c>
      <c r="M30" s="72">
        <f t="shared" ref="M30:O30" si="972">($P30-$K30)/($P$4-$K$4)+L30</f>
        <v>0.15959999999999999</v>
      </c>
      <c r="N30" s="72">
        <f t="shared" si="972"/>
        <v>0.2394</v>
      </c>
      <c r="O30" s="72">
        <f t="shared" si="972"/>
        <v>0.31919999999999998</v>
      </c>
      <c r="P30" s="72">
        <f>F30</f>
        <v>0.39899999999999997</v>
      </c>
      <c r="Q30" s="72">
        <f>($U30-$P30)/($U$4-$P$4)+P30</f>
        <v>0.47879999999999995</v>
      </c>
      <c r="R30" s="72">
        <f t="shared" ref="R30:T30" si="973">($U30-$P30)/($U$4-$P$4)+Q30</f>
        <v>0.55859999999999999</v>
      </c>
      <c r="S30" s="72">
        <f t="shared" si="973"/>
        <v>0.63839999999999997</v>
      </c>
      <c r="T30" s="72">
        <f t="shared" si="973"/>
        <v>0.71819999999999995</v>
      </c>
      <c r="U30" s="72">
        <f>G30</f>
        <v>0.79799999999999993</v>
      </c>
      <c r="V30" s="72">
        <f>(AE30-U30)/(AE$4-U$4)+U30</f>
        <v>0.78929999999999989</v>
      </c>
      <c r="W30" s="72">
        <f>(AE30-U30)/(AE$4-U$4)+V30</f>
        <v>0.78059999999999996</v>
      </c>
      <c r="X30" s="72">
        <f>(AE30-U30)/(AE$4-U$4)+W30</f>
        <v>0.77190000000000003</v>
      </c>
      <c r="Y30" s="72">
        <f>(AE30-U30)/(AE$4-U$4)+X30</f>
        <v>0.7632000000000001</v>
      </c>
      <c r="Z30" s="72">
        <f>(AE30-U30)/(AE$4-U$4)+Y30</f>
        <v>0.75450000000000017</v>
      </c>
      <c r="AA30" s="72">
        <f>(AE30-U30)/(AE$4-U$4)+Z30</f>
        <v>0.74580000000000024</v>
      </c>
      <c r="AB30" s="72">
        <f>(AE30-U30)/(AE$4-U$4)+AA30</f>
        <v>0.73710000000000031</v>
      </c>
      <c r="AC30" s="72">
        <f>(AE30-U30)/(AE$4-U$4)+AB30</f>
        <v>0.72840000000000038</v>
      </c>
      <c r="AD30" s="72">
        <f>(AE30-U30)/(AE$4-U$4)+AC30</f>
        <v>0.71970000000000045</v>
      </c>
      <c r="AE30" s="72">
        <f>H30</f>
        <v>0.71100000000000008</v>
      </c>
      <c r="AF30" s="72">
        <f>(AH30-AE30)/(AH$4-AE$4)+AE30</f>
        <v>0.71100000000000008</v>
      </c>
      <c r="AG30" s="72">
        <f>(AE30+AH30)/2</f>
        <v>0.71100000000000008</v>
      </c>
      <c r="AH30" s="72">
        <f>I30</f>
        <v>0.71100000000000008</v>
      </c>
      <c r="AJ30" s="115">
        <f ca="1">SUMIF(SourceData!$Y$3:$AK$3,$C29,SourceData!$Y$1:$AK$1)</f>
        <v>0.34</v>
      </c>
      <c r="AK30" s="72">
        <v>0.05</v>
      </c>
      <c r="AL30" s="94">
        <v>0.02</v>
      </c>
      <c r="AM30" s="72">
        <f>AL30</f>
        <v>0.02</v>
      </c>
      <c r="AN30" s="72">
        <v>0</v>
      </c>
      <c r="AO30" s="72">
        <v>0</v>
      </c>
      <c r="AP30" s="118" t="str">
        <f>AQ30&amp;" "&amp;AR30&amp;" "&amp;AS30&amp;" "&amp;AT30&amp;" "&amp;AU30&amp;" "&amp;AV30&amp;" "&amp;AW30&amp;" "&amp;AX30&amp;" "&amp;AY30&amp;" "&amp;AZ30&amp;" "&amp;BA30&amp;" "&amp;BB30&amp;" "&amp;BC30&amp;" "&amp;BD30&amp;" "&amp;BE30&amp;" "&amp;BF30&amp;" "&amp;BG30&amp;" "&amp;BH30&amp;" "&amp;BI30&amp;" "&amp;BJ30&amp;" "&amp;BK30&amp;" "&amp;BL30&amp;" "&amp;BM30&amp;" "&amp;BN30&amp;" "</f>
        <v xml:space="preserve">0.02 0.02 0.02 0.02 0.02 0.02 0.02 0.02 0.02 0.02 0.02 0.018 0.016 0.014 0.012 0.01 0.008 0.006 0.004 0.002 0 0 0 0 </v>
      </c>
      <c r="AQ30" s="72">
        <f>AL30</f>
        <v>0.02</v>
      </c>
      <c r="AR30" s="72">
        <f>(BA30-AQ30)/(BA$4-AQ$4)+AQ30</f>
        <v>0.02</v>
      </c>
      <c r="AS30" s="72">
        <f>(BA30-AQ30)/(BA$4-AQ$4)+AR30</f>
        <v>0.02</v>
      </c>
      <c r="AT30" s="72">
        <f>(BA30-AQ30)/(BA$4-AQ$4)+AS30</f>
        <v>0.02</v>
      </c>
      <c r="AU30" s="72">
        <f>(BA30-AQ30)/(BA$4-AQ$4)+AT30</f>
        <v>0.02</v>
      </c>
      <c r="AV30" s="72">
        <f>(BA30-AQ30)/(BA$4-AQ$4)+AU30</f>
        <v>0.02</v>
      </c>
      <c r="AW30" s="72">
        <f>(BA30-AQ30)/(BA$4-AQ$4)+AV30</f>
        <v>0.02</v>
      </c>
      <c r="AX30" s="72">
        <f>(BA30-AQ30)/(BA$4-AQ$4)+AW30</f>
        <v>0.02</v>
      </c>
      <c r="AY30" s="72">
        <f>(BA30-AQ30)/(BA$4-AQ$4)+AX30</f>
        <v>0.02</v>
      </c>
      <c r="AZ30" s="72">
        <f>(BA30-AQ30)/(BA$4-AQ$4)+AY30</f>
        <v>0.02</v>
      </c>
      <c r="BA30" s="72">
        <f>AM30</f>
        <v>0.02</v>
      </c>
      <c r="BB30" s="72">
        <f>(BK30-BA30)/(BK$4-BA$4)+BA30</f>
        <v>1.8000000000000002E-2</v>
      </c>
      <c r="BC30" s="72">
        <f>(BK30-BA30)/(BK$4-BA$4)+BB30</f>
        <v>1.6E-2</v>
      </c>
      <c r="BD30" s="72">
        <f>(BK30-BA30)/(BK$4-BA$4)+BC30</f>
        <v>1.4E-2</v>
      </c>
      <c r="BE30" s="72">
        <f>(BK30-BA30)/(BK$4-BA$4)+BD30</f>
        <v>1.2E-2</v>
      </c>
      <c r="BF30" s="72">
        <f>(BK30-BA30)/(BK$4-BA$4)+BE30</f>
        <v>0.01</v>
      </c>
      <c r="BG30" s="72">
        <f>(BK30-BA30)/(BK$4-BA$4)+BF30</f>
        <v>8.0000000000000002E-3</v>
      </c>
      <c r="BH30" s="72">
        <f>(BK30-BA30)/(BK$4-BA$4)+BG30</f>
        <v>6.0000000000000001E-3</v>
      </c>
      <c r="BI30" s="72">
        <f>(BK30-BA30)/(BK$4-BA$4)+BH30</f>
        <v>4.0000000000000001E-3</v>
      </c>
      <c r="BJ30" s="72">
        <f>(BK30-BA30)/(BK$4-BA$4)+BI30</f>
        <v>2E-3</v>
      </c>
      <c r="BK30" s="72">
        <f>AN30</f>
        <v>0</v>
      </c>
      <c r="BL30" s="72">
        <f>(BN30-BK30)/(BN$4-BK$4)+BK30</f>
        <v>0</v>
      </c>
      <c r="BM30" s="72">
        <f>(BK30+BN30)/2</f>
        <v>0</v>
      </c>
      <c r="BN30" s="72">
        <f>AO30</f>
        <v>0</v>
      </c>
      <c r="BO30">
        <f>SUMIF(SourceData!$BD$3:$BP$3,$C29,SourceData!$BD$1:$BP$1)</f>
        <v>1</v>
      </c>
      <c r="BP30" s="84">
        <f ca="1">IF($BO30,OFFSET(SourceData!$BC$4,MATCH(BP29,SourceData!$BC$5:$BC$28,0),MATCH($C33,SourceData!$BD$3:$BP$3,0)),K30*K33)</f>
        <v>0</v>
      </c>
      <c r="BQ30" s="84">
        <f ca="1">IF($BO30,OFFSET(SourceData!$BC$4,MATCH(BQ29,SourceData!$BC$5:$BC$28,0),MATCH($C33,SourceData!$BD$3:$BP$3,0)),L30*L33)</f>
        <v>0</v>
      </c>
      <c r="BR30" s="84">
        <f ca="1">IF($BO30,OFFSET(SourceData!$BC$4,MATCH(BR29,SourceData!$BC$5:$BC$28,0),MATCH($C33,SourceData!$BD$3:$BP$3,0)),M30*M33)</f>
        <v>33</v>
      </c>
      <c r="BS30" s="84">
        <f ca="1">IF($BO30,OFFSET(SourceData!$BC$4,MATCH(BS29,SourceData!$BC$5:$BC$28,0),MATCH($C33,SourceData!$BD$3:$BP$3,0)),N30*N33)</f>
        <v>131</v>
      </c>
      <c r="BT30" s="84">
        <f ca="1">IF($BO30,OFFSET(SourceData!$BC$4,MATCH(BT29,SourceData!$BC$5:$BC$28,0),MATCH($C33,SourceData!$BD$3:$BP$3,0)),O30*O33)</f>
        <v>657</v>
      </c>
      <c r="BU30" s="84">
        <f ca="1">IF($BO30,OFFSET(SourceData!$BC$4,MATCH(BU29,SourceData!$BC$5:$BC$28,0),MATCH($C33,SourceData!$BD$3:$BP$3,0)),P30*P33)</f>
        <v>1183</v>
      </c>
      <c r="BV30" s="84">
        <f ca="1">IF($BO30,OFFSET(SourceData!$BC$4,MATCH(BV29,SourceData!$BC$5:$BC$28,0),MATCH($C33,SourceData!$BD$3:$BP$3,0)),Q30*Q33)</f>
        <v>1840</v>
      </c>
      <c r="BW30" s="84">
        <f ca="1">IF($BO30,OFFSET(SourceData!$BC$4,MATCH(BW29,SourceData!$BC$5:$BC$28,0),MATCH($C33,SourceData!$BD$3:$BP$3,0)),R30*R33)</f>
        <v>1840</v>
      </c>
      <c r="BX30" s="84">
        <f ca="1">IF($BO30,OFFSET(SourceData!$BC$4,MATCH(BX29,SourceData!$BC$5:$BC$28,0),MATCH($C33,SourceData!$BD$3:$BP$3,0)),S30*S33)</f>
        <v>1840</v>
      </c>
      <c r="BY30" s="84">
        <f ca="1">IF($BO30,OFFSET(SourceData!$BC$4,MATCH(BY29,SourceData!$BC$5:$BC$28,0),MATCH($C33,SourceData!$BD$3:$BP$3,0)),T30*T33)</f>
        <v>1840</v>
      </c>
      <c r="BZ30" s="84">
        <f ca="1">IF($BO30,OFFSET(SourceData!$BC$4,MATCH(BZ29,SourceData!$BC$5:$BC$28,0),MATCH($C33,SourceData!$BD$3:$BP$3,0)),U30*U33)</f>
        <v>1840</v>
      </c>
      <c r="CA30" s="84">
        <f ca="1">IF($BO30,OFFSET(SourceData!$BC$4,MATCH(CA29,SourceData!$BC$5:$BC$28,0),MATCH($C33,SourceData!$BD$3:$BP$3,0)),V30*V33)</f>
        <v>1840</v>
      </c>
      <c r="CB30" s="84">
        <f ca="1">IF($BO30,OFFSET(SourceData!$BC$4,MATCH(CB29,SourceData!$BC$5:$BC$28,0),MATCH($C33,SourceData!$BD$3:$BP$3,0)),W30*W33)</f>
        <v>1840</v>
      </c>
      <c r="CC30" s="84">
        <f ca="1">IF($BO30,OFFSET(SourceData!$BC$4,MATCH(CC29,SourceData!$BC$5:$BC$28,0),MATCH($C33,SourceData!$BD$3:$BP$3,0)),X30*X33)</f>
        <v>1840</v>
      </c>
      <c r="CD30" s="84">
        <f ca="1">IF($BO30,OFFSET(SourceData!$BC$4,MATCH(CD29,SourceData!$BC$5:$BC$28,0),MATCH($C33,SourceData!$BD$3:$BP$3,0)),Y30*Y33)</f>
        <v>1840</v>
      </c>
      <c r="CE30" s="84">
        <f ca="1">IF($BO30,OFFSET(SourceData!$BC$4,MATCH(CE29,SourceData!$BC$5:$BC$28,0),MATCH($C33,SourceData!$BD$3:$BP$3,0)),Z30*Z33)</f>
        <v>1840</v>
      </c>
      <c r="CF30" s="84">
        <f ca="1">IF($BO30,OFFSET(SourceData!$BC$4,MATCH(CF29,SourceData!$BC$5:$BC$28,0),MATCH($C33,SourceData!$BD$3:$BP$3,0)),AA30*AA33)</f>
        <v>1840</v>
      </c>
      <c r="CG30" s="84">
        <f ca="1">IF($BO30,OFFSET(SourceData!$BC$4,MATCH(CG29,SourceData!$BC$5:$BC$28,0),MATCH($C33,SourceData!$BD$3:$BP$3,0)),AB30*AB33)</f>
        <v>1840</v>
      </c>
      <c r="CH30" s="84">
        <f ca="1">IF($BO30,OFFSET(SourceData!$BC$4,MATCH(CH29,SourceData!$BC$5:$BC$28,0),MATCH($C33,SourceData!$BD$3:$BP$3,0)),AC30*AC33)</f>
        <v>1840</v>
      </c>
      <c r="CI30" s="84">
        <f ca="1">IF($BO30,OFFSET(SourceData!$BC$4,MATCH(CI29,SourceData!$BC$5:$BC$28,0),MATCH($C33,SourceData!$BD$3:$BP$3,0)),AD30*AD33)</f>
        <v>1840</v>
      </c>
      <c r="CJ30" s="84">
        <f ca="1">IF($BO30,OFFSET(SourceData!$BC$4,MATCH(CJ29,SourceData!$BC$5:$BC$28,0),MATCH($C33,SourceData!$BD$3:$BP$3,0)),AE30*AE33)</f>
        <v>1840</v>
      </c>
      <c r="CK30" s="84">
        <f ca="1">IF($BO30,OFFSET(SourceData!$BC$4,MATCH(CK29,SourceData!$BC$5:$BC$28,0),MATCH($C33,SourceData!$BD$3:$BP$3,0)),AF30*AF33)</f>
        <v>1840</v>
      </c>
      <c r="CL30" s="84">
        <f ca="1">IF($BO30,OFFSET(SourceData!$BC$4,MATCH(CL29,SourceData!$BC$5:$BC$28,0),MATCH($C33,SourceData!$BD$3:$BP$3,0)),AG30*AG33)</f>
        <v>1840</v>
      </c>
      <c r="CM30" s="84">
        <f ca="1">IF($BO30,OFFSET(SourceData!$BC$4,MATCH(CM29,SourceData!$BC$5:$BC$28,0),MATCH($C33,SourceData!$BD$3:$BP$3,0)),AH30*AH33)</f>
        <v>1840</v>
      </c>
      <c r="CN30" s="118" t="str">
        <f t="shared" ref="CN30:CN32" ca="1" si="974">CO30&amp;" "&amp;CP30&amp;" "&amp;CQ30&amp;" "&amp;CR30&amp;" "&amp;CS30&amp;" "&amp;CT30&amp;" "&amp;CU30&amp;" "&amp;CV30&amp;" "&amp;CW30&amp;" "&amp;CX30&amp;" "&amp;CY30&amp;" "&amp;CZ30&amp;" "&amp;DA30&amp;" "&amp;DB30&amp;" "&amp;DC30&amp;" "&amp;DD30&amp;" "&amp;DE30&amp;" "&amp;DF30&amp;" "&amp;DG30&amp;" "&amp;DH30&amp;" "&amp;DI30&amp;" "&amp;DJ30&amp;" "&amp;DK30&amp;" "&amp;DL30&amp;" "</f>
        <v xml:space="preserve">0 0 3.5 13.9 69.8 125.7 195.6 195.6 195.6 195.6 195.6 196 196.4 196.7 197.1 197.5 197.9 198.3 198.7 199.1 199.5 199.5 199.5 199.5 </v>
      </c>
      <c r="CO30" s="117">
        <f ca="1">ROUND(BP30*(1-AQ30)*(1-$AK30)/8.76,1)</f>
        <v>0</v>
      </c>
      <c r="CP30" s="117">
        <f t="shared" ref="CP30:CP32" ca="1" si="975">ROUND(BQ30*(1-AR30)*(1-$AK30)/8.76,1)</f>
        <v>0</v>
      </c>
      <c r="CQ30" s="117">
        <f t="shared" ref="CQ30:CQ32" ca="1" si="976">ROUND(BR30*(1-AS30)*(1-$AK30)/8.76,1)</f>
        <v>3.5</v>
      </c>
      <c r="CR30" s="117">
        <f t="shared" ref="CR30:CR32" ca="1" si="977">ROUND(BS30*(1-AT30)*(1-$AK30)/8.76,1)</f>
        <v>13.9</v>
      </c>
      <c r="CS30" s="117">
        <f t="shared" ref="CS30:CS32" ca="1" si="978">ROUND(BT30*(1-AU30)*(1-$AK30)/8.76,1)</f>
        <v>69.8</v>
      </c>
      <c r="CT30" s="117">
        <f t="shared" ref="CT30:CT32" ca="1" si="979">ROUND(BU30*(1-AV30)*(1-$AK30)/8.76,1)</f>
        <v>125.7</v>
      </c>
      <c r="CU30" s="117">
        <f t="shared" ref="CU30:CU32" ca="1" si="980">ROUND(BV30*(1-AW30)*(1-$AK30)/8.76,1)</f>
        <v>195.6</v>
      </c>
      <c r="CV30" s="117">
        <f t="shared" ref="CV30:CV32" ca="1" si="981">ROUND(BW30*(1-AX30)*(1-$AK30)/8.76,1)</f>
        <v>195.6</v>
      </c>
      <c r="CW30" s="117">
        <f t="shared" ref="CW30:CW32" ca="1" si="982">ROUND(BX30*(1-AY30)*(1-$AK30)/8.76,1)</f>
        <v>195.6</v>
      </c>
      <c r="CX30" s="117">
        <f t="shared" ref="CX30:CX32" ca="1" si="983">ROUND(BY30*(1-AZ30)*(1-$AK30)/8.76,1)</f>
        <v>195.6</v>
      </c>
      <c r="CY30" s="117">
        <f t="shared" ref="CY30:CY32" ca="1" si="984">ROUND(BZ30*(1-BA30)*(1-$AK30)/8.76,1)</f>
        <v>195.6</v>
      </c>
      <c r="CZ30" s="117">
        <f t="shared" ref="CZ30:CZ32" ca="1" si="985">ROUND(CA30*(1-BB30)*(1-$AK30)/8.76,1)</f>
        <v>196</v>
      </c>
      <c r="DA30" s="117">
        <f t="shared" ref="DA30:DA32" ca="1" si="986">ROUND(CB30*(1-BC30)*(1-$AK30)/8.76,1)</f>
        <v>196.4</v>
      </c>
      <c r="DB30" s="117">
        <f t="shared" ref="DB30:DB32" ca="1" si="987">ROUND(CC30*(1-BD30)*(1-$AK30)/8.76,1)</f>
        <v>196.7</v>
      </c>
      <c r="DC30" s="117">
        <f t="shared" ref="DC30:DC32" ca="1" si="988">ROUND(CD30*(1-BE30)*(1-$AK30)/8.76,1)</f>
        <v>197.1</v>
      </c>
      <c r="DD30" s="117">
        <f t="shared" ref="DD30:DD32" ca="1" si="989">ROUND(CE30*(1-BF30)*(1-$AK30)/8.76,1)</f>
        <v>197.5</v>
      </c>
      <c r="DE30" s="117">
        <f ca="1">ROUND(CF30*(1-BG30)*(1-$AK30)/8.76,1)</f>
        <v>197.9</v>
      </c>
      <c r="DF30" s="117">
        <f t="shared" ref="DF30:DF32" ca="1" si="990">ROUND(CG30*(1-BH30)*(1-$AK30)/8.76,1)</f>
        <v>198.3</v>
      </c>
      <c r="DG30" s="117">
        <f t="shared" ref="DG30:DG32" ca="1" si="991">ROUND(CH30*(1-BI30)*(1-$AK30)/8.76,1)</f>
        <v>198.7</v>
      </c>
      <c r="DH30" s="117">
        <f ca="1">ROUND(CI30*(1-BJ30)*(1-$AK30)/8.76,1)</f>
        <v>199.1</v>
      </c>
      <c r="DI30" s="117">
        <f t="shared" ref="DI30:DI32" ca="1" si="992">ROUND(CJ30*(1-BK30)*(1-$AK30)/8.76,1)</f>
        <v>199.5</v>
      </c>
      <c r="DJ30" s="117">
        <f ca="1">ROUND(CK30*(1-BL30)*(1-$AK30)/8.76,1)</f>
        <v>199.5</v>
      </c>
      <c r="DK30" s="117">
        <f ca="1">ROUND(CL30*(1-BM30)*(1-$AK30)/8.76,1)</f>
        <v>199.5</v>
      </c>
      <c r="DL30" s="117">
        <f t="shared" ref="DL30:DL32" ca="1" si="993">ROUND(CM30*(1-BN30)*(1-$AK30)/8.76,1)</f>
        <v>199.5</v>
      </c>
      <c r="DM30" s="118" t="str">
        <f t="shared" ref="DM30:DM32" si="994">DN30&amp;" "&amp;DO30&amp;" "&amp;DP30&amp;" "&amp;DQ30&amp;" "&amp;DR30&amp;" "&amp;DS30&amp;" "&amp;DT30&amp;" "&amp;DU30&amp;" "&amp;DV30&amp;" "&amp;DW30&amp;" "&amp;DX30&amp;" "&amp;DY30&amp;" "&amp;DZ30&amp;" "&amp;EA30&amp;" "&amp;EB30&amp;" "&amp;EC30&amp;" "&amp;ED30&amp;" "&amp;EE30&amp;" "&amp;EF30&amp;" "&amp;EG30&amp;" "&amp;EH30&amp;" "&amp;EI30&amp;" "&amp;EJ30&amp;" "&amp;EK30&amp;" "</f>
        <v xml:space="preserve">0.98 0.98 0.98 0.98 0.98 0.98 0.98 0.98 0.98 0.98 0.98 0.982 0.984 0.986 0.988 0.99 0.992 0.994 0.996 0.998 1 1 1 1 </v>
      </c>
      <c r="DN30" s="72">
        <f>1-AQ30</f>
        <v>0.98</v>
      </c>
      <c r="DO30" s="72">
        <f t="shared" ref="DO30:DO32" si="995">1-AR30</f>
        <v>0.98</v>
      </c>
      <c r="DP30" s="72">
        <f t="shared" ref="DP30:DP32" si="996">1-AS30</f>
        <v>0.98</v>
      </c>
      <c r="DQ30" s="72">
        <f t="shared" ref="DQ30:DQ32" si="997">1-AT30</f>
        <v>0.98</v>
      </c>
      <c r="DR30" s="72">
        <f t="shared" ref="DR30:DR32" si="998">1-AU30</f>
        <v>0.98</v>
      </c>
      <c r="DS30" s="72">
        <f t="shared" ref="DS30:DS32" si="999">1-AV30</f>
        <v>0.98</v>
      </c>
      <c r="DT30" s="72">
        <f t="shared" ref="DT30:DT32" si="1000">1-AW30</f>
        <v>0.98</v>
      </c>
      <c r="DU30" s="72">
        <f t="shared" ref="DU30:DU32" si="1001">1-AX30</f>
        <v>0.98</v>
      </c>
      <c r="DV30" s="72">
        <f t="shared" ref="DV30:DV32" si="1002">1-AY30</f>
        <v>0.98</v>
      </c>
      <c r="DW30" s="72">
        <f t="shared" ref="DW30:DW32" si="1003">1-AZ30</f>
        <v>0.98</v>
      </c>
      <c r="DX30" s="72">
        <f t="shared" ref="DX30:DX32" si="1004">1-BA30</f>
        <v>0.98</v>
      </c>
      <c r="DY30" s="72">
        <f t="shared" ref="DY30:DY32" si="1005">1-BB30</f>
        <v>0.98199999999999998</v>
      </c>
      <c r="DZ30" s="72">
        <f t="shared" ref="DZ30:DZ32" si="1006">1-BC30</f>
        <v>0.98399999999999999</v>
      </c>
      <c r="EA30" s="72">
        <f t="shared" ref="EA30:EA32" si="1007">1-BD30</f>
        <v>0.98599999999999999</v>
      </c>
      <c r="EB30" s="72">
        <f t="shared" ref="EB30:EB32" si="1008">1-BE30</f>
        <v>0.98799999999999999</v>
      </c>
      <c r="EC30" s="72">
        <f t="shared" ref="EC30:EC32" si="1009">1-BF30</f>
        <v>0.99</v>
      </c>
      <c r="ED30" s="72">
        <f t="shared" ref="ED30:ED32" si="1010">1-BG30</f>
        <v>0.99199999999999999</v>
      </c>
      <c r="EE30" s="72">
        <f t="shared" ref="EE30:EE32" si="1011">1-BH30</f>
        <v>0.99399999999999999</v>
      </c>
      <c r="EF30" s="72">
        <f t="shared" ref="EF30:EF32" si="1012">1-BI30</f>
        <v>0.996</v>
      </c>
      <c r="EG30" s="72">
        <f t="shared" ref="EG30:EG32" si="1013">1-BJ30</f>
        <v>0.998</v>
      </c>
      <c r="EH30" s="72">
        <f t="shared" ref="EH30:EH32" si="1014">1-BK30</f>
        <v>1</v>
      </c>
      <c r="EI30" s="72">
        <f t="shared" ref="EI30:EI32" si="1015">1-BL30</f>
        <v>1</v>
      </c>
      <c r="EJ30" s="72">
        <f t="shared" ref="EJ30:EJ32" si="1016">1-BM30</f>
        <v>1</v>
      </c>
      <c r="EK30" s="72">
        <f t="shared" ref="EK30:EK32" si="1017">1-BN30</f>
        <v>1</v>
      </c>
    </row>
    <row r="31" spans="1:141" x14ac:dyDescent="0.25">
      <c r="A31" t="str">
        <f t="shared" si="20"/>
        <v>UrbanLIB</v>
      </c>
      <c r="B31" t="str">
        <f t="shared" si="971"/>
        <v>Urban</v>
      </c>
      <c r="C31" t="str">
        <f>IFERROR(VLOOKUP(D31,'For model'!$B$4:$C$16,2,FALSE),C30)</f>
        <v>LIB</v>
      </c>
      <c r="D31" t="s">
        <v>536</v>
      </c>
      <c r="E31" s="72">
        <f>1-E30-E32</f>
        <v>0.98</v>
      </c>
      <c r="F31" s="72">
        <f>1-F30-F32</f>
        <v>0.57099999999999995</v>
      </c>
      <c r="G31" s="72">
        <f t="shared" ref="G31:H31" si="1018">1-G30-G32</f>
        <v>0.15200000000000008</v>
      </c>
      <c r="H31" s="72">
        <f t="shared" si="1018"/>
        <v>0.18899999999999992</v>
      </c>
      <c r="I31" s="72">
        <f t="shared" ref="I31" si="1019">1-I30-I32</f>
        <v>0.18899999999999992</v>
      </c>
      <c r="K31" s="72">
        <f t="shared" ref="K31:K32" si="1020">E31</f>
        <v>0.98</v>
      </c>
      <c r="L31" s="72">
        <f t="shared" ref="L31:O31" si="1021">($P31-$K31)/($P$4-$K$4)+K31</f>
        <v>0.8982</v>
      </c>
      <c r="M31" s="72">
        <f t="shared" si="1021"/>
        <v>0.81640000000000001</v>
      </c>
      <c r="N31" s="72">
        <f t="shared" si="1021"/>
        <v>0.73460000000000003</v>
      </c>
      <c r="O31" s="72">
        <f t="shared" si="1021"/>
        <v>0.65280000000000005</v>
      </c>
      <c r="P31" s="72">
        <f t="shared" ref="P31:P32" si="1022">F31</f>
        <v>0.57099999999999995</v>
      </c>
      <c r="Q31" s="72">
        <f t="shared" ref="Q31:T31" si="1023">($U31-$P31)/($U$4-$P$4)+P31</f>
        <v>0.48719999999999997</v>
      </c>
      <c r="R31" s="72">
        <f t="shared" si="1023"/>
        <v>0.40339999999999998</v>
      </c>
      <c r="S31" s="72">
        <f t="shared" si="1023"/>
        <v>0.3196</v>
      </c>
      <c r="T31" s="72">
        <f t="shared" si="1023"/>
        <v>0.23580000000000001</v>
      </c>
      <c r="U31" s="72">
        <f t="shared" ref="U31:U32" si="1024">G31</f>
        <v>0.15200000000000008</v>
      </c>
      <c r="V31" s="72">
        <f t="shared" ref="V31:V32" si="1025">(AE31-U31)/(AE$4-U$4)+U31</f>
        <v>0.15570000000000006</v>
      </c>
      <c r="W31" s="72">
        <f t="shared" ref="W31:W32" si="1026">(AE31-U31)/(AE$4-U$4)+V31</f>
        <v>0.15940000000000004</v>
      </c>
      <c r="X31" s="72">
        <f t="shared" ref="X31:X32" si="1027">(AE31-U31)/(AE$4-U$4)+W31</f>
        <v>0.16310000000000002</v>
      </c>
      <c r="Y31" s="72">
        <f t="shared" ref="Y31:Y32" si="1028">(AE31-U31)/(AE$4-U$4)+X31</f>
        <v>0.1668</v>
      </c>
      <c r="Z31" s="72">
        <f t="shared" ref="Z31:Z32" si="1029">(AE31-U31)/(AE$4-U$4)+Y31</f>
        <v>0.17049999999999998</v>
      </c>
      <c r="AA31" s="72">
        <f t="shared" ref="AA31:AA32" si="1030">(AE31-U31)/(AE$4-U$4)+Z31</f>
        <v>0.17419999999999997</v>
      </c>
      <c r="AB31" s="72">
        <f t="shared" ref="AB31:AB32" si="1031">(AE31-U31)/(AE$4-U$4)+AA31</f>
        <v>0.17789999999999995</v>
      </c>
      <c r="AC31" s="72">
        <f t="shared" ref="AC31:AC32" si="1032">(AE31-U31)/(AE$4-U$4)+AB31</f>
        <v>0.18159999999999993</v>
      </c>
      <c r="AD31" s="72">
        <f t="shared" ref="AD31:AD32" si="1033">(AE31-U31)/(AE$4-U$4)+AC31</f>
        <v>0.18529999999999991</v>
      </c>
      <c r="AE31" s="72">
        <f t="shared" ref="AE31:AE32" si="1034">H31</f>
        <v>0.18899999999999992</v>
      </c>
      <c r="AF31" s="72">
        <f>(AH31-AE31)/(AH$4-AE$4)+AE31</f>
        <v>0.18899999999999992</v>
      </c>
      <c r="AG31" s="72">
        <f t="shared" ref="AG31:AG32" si="1035">(AE31+AH31)/2</f>
        <v>0.18899999999999992</v>
      </c>
      <c r="AH31" s="72">
        <f>I31</f>
        <v>0.18899999999999992</v>
      </c>
      <c r="AJ31" s="72" t="s">
        <v>548</v>
      </c>
      <c r="AK31" s="72">
        <f>AK30</f>
        <v>0.05</v>
      </c>
      <c r="AL31" s="111">
        <v>0.25</v>
      </c>
      <c r="AM31" s="72">
        <v>0.1</v>
      </c>
      <c r="AN31" s="72">
        <v>0.08</v>
      </c>
      <c r="AO31" s="72">
        <f>AN31</f>
        <v>0.08</v>
      </c>
      <c r="AP31" s="118" t="str">
        <f>AQ31&amp;" "&amp;AR31&amp;" "&amp;AS31&amp;" "&amp;AT31&amp;" "&amp;AU31&amp;" "&amp;AV31&amp;" "&amp;AW31&amp;" "&amp;AX31&amp;" "&amp;AY31&amp;" "&amp;AZ31&amp;" "&amp;BA31&amp;" "&amp;BB31&amp;" "&amp;BC31&amp;" "&amp;BD31&amp;" "&amp;BE31&amp;" "&amp;BF31&amp;" "&amp;BG31&amp;" "&amp;BH31&amp;" "&amp;BI31&amp;" "&amp;BJ31&amp;" "&amp;BK31&amp;" "&amp;BL31&amp;" "&amp;BM31&amp;" "&amp;BN31&amp;" "</f>
        <v xml:space="preserve">0.25 0.235 0.22 0.205 0.19 0.175 0.16 0.145 0.13 0.115 0.1 0.098 0.096 0.094 0.092 0.09 0.088 0.086 0.084 0.082 0.08 0.08 0.08 0.08 </v>
      </c>
      <c r="AQ31" s="72">
        <f t="shared" ref="AQ31:AQ32" si="1036">AL31</f>
        <v>0.25</v>
      </c>
      <c r="AR31" s="72">
        <f t="shared" ref="AR31:AR32" si="1037">(BA31-AQ31)/(BA$4-AQ$4)+AQ31</f>
        <v>0.23499999999999999</v>
      </c>
      <c r="AS31" s="72">
        <f t="shared" ref="AS31:AS32" si="1038">(BA31-AQ31)/(BA$4-AQ$4)+AR31</f>
        <v>0.21999999999999997</v>
      </c>
      <c r="AT31" s="72">
        <f t="shared" ref="AT31:AT32" si="1039">(BA31-AQ31)/(BA$4-AQ$4)+AS31</f>
        <v>0.20499999999999996</v>
      </c>
      <c r="AU31" s="72">
        <f t="shared" ref="AU31:AU32" si="1040">(BA31-AQ31)/(BA$4-AQ$4)+AT31</f>
        <v>0.18999999999999995</v>
      </c>
      <c r="AV31" s="72">
        <f t="shared" ref="AV31:AV32" si="1041">(BA31-AQ31)/(BA$4-AQ$4)+AU31</f>
        <v>0.17499999999999993</v>
      </c>
      <c r="AW31" s="72">
        <f t="shared" ref="AW31:AW32" si="1042">(BA31-AQ31)/(BA$4-AQ$4)+AV31</f>
        <v>0.15999999999999992</v>
      </c>
      <c r="AX31" s="72">
        <f t="shared" ref="AX31:AX32" si="1043">(BA31-AQ31)/(BA$4-AQ$4)+AW31</f>
        <v>0.14499999999999991</v>
      </c>
      <c r="AY31" s="72">
        <f t="shared" ref="AY31:AY32" si="1044">(BA31-AQ31)/(BA$4-AQ$4)+AX31</f>
        <v>0.12999999999999989</v>
      </c>
      <c r="AZ31" s="72">
        <f t="shared" ref="AZ31:AZ32" si="1045">(BA31-AQ31)/(BA$4-AQ$4)+AY31</f>
        <v>0.11499999999999989</v>
      </c>
      <c r="BA31" s="72">
        <f t="shared" ref="BA31:BA32" si="1046">AM31</f>
        <v>0.1</v>
      </c>
      <c r="BB31" s="72">
        <f t="shared" ref="BB31:BB32" si="1047">(BK31-BA31)/(BK$4-BA$4)+BA31</f>
        <v>9.8000000000000004E-2</v>
      </c>
      <c r="BC31" s="72">
        <f t="shared" ref="BC31:BC32" si="1048">(BK31-BA31)/(BK$4-BA$4)+BB31</f>
        <v>9.6000000000000002E-2</v>
      </c>
      <c r="BD31" s="72">
        <f t="shared" ref="BD31:BD32" si="1049">(BK31-BA31)/(BK$4-BA$4)+BC31</f>
        <v>9.4E-2</v>
      </c>
      <c r="BE31" s="72">
        <f t="shared" ref="BE31:BE32" si="1050">(BK31-BA31)/(BK$4-BA$4)+BD31</f>
        <v>9.1999999999999998E-2</v>
      </c>
      <c r="BF31" s="72">
        <f t="shared" ref="BF31:BF32" si="1051">(BK31-BA31)/(BK$4-BA$4)+BE31</f>
        <v>0.09</v>
      </c>
      <c r="BG31" s="72">
        <f t="shared" ref="BG31:BG32" si="1052">(BK31-BA31)/(BK$4-BA$4)+BF31</f>
        <v>8.7999999999999995E-2</v>
      </c>
      <c r="BH31" s="72">
        <f t="shared" ref="BH31:BH32" si="1053">(BK31-BA31)/(BK$4-BA$4)+BG31</f>
        <v>8.5999999999999993E-2</v>
      </c>
      <c r="BI31" s="72">
        <f t="shared" ref="BI31:BI32" si="1054">(BK31-BA31)/(BK$4-BA$4)+BH31</f>
        <v>8.3999999999999991E-2</v>
      </c>
      <c r="BJ31" s="72">
        <f t="shared" ref="BJ31:BJ32" si="1055">(BK31-BA31)/(BK$4-BA$4)+BI31</f>
        <v>8.199999999999999E-2</v>
      </c>
      <c r="BK31" s="72">
        <f t="shared" ref="BK31:BK32" si="1056">AN31</f>
        <v>0.08</v>
      </c>
      <c r="BL31" s="72">
        <f>(BN31-BK31)/(BN$4-BK$4)+BK31</f>
        <v>0.08</v>
      </c>
      <c r="BM31" s="72">
        <f t="shared" ref="BM31:BM32" si="1057">(BK31+BN31)/2</f>
        <v>0.08</v>
      </c>
      <c r="BN31" s="72">
        <f>AO31</f>
        <v>0.08</v>
      </c>
      <c r="BP31" s="84">
        <f ca="1">K31/(K31+K32)*(K33-BP30)</f>
        <v>33.32</v>
      </c>
      <c r="BQ31" s="84">
        <f t="shared" ref="BQ31" ca="1" si="1058">L31/(L31+L32)*(L33-BQ30)</f>
        <v>45.876331232340796</v>
      </c>
      <c r="BR31" s="84">
        <f t="shared" ref="BR31" ca="1" si="1059">M31/(M31+M32)*(M33-BR30)</f>
        <v>102.00142789148025</v>
      </c>
      <c r="BS31" s="84">
        <f t="shared" ref="BS31" ca="1" si="1060">N31/(N31+N32)*(N33-BS30)</f>
        <v>157.42808309229557</v>
      </c>
      <c r="BT31" s="84">
        <f t="shared" ref="BT31" ca="1" si="1061">O31/(O31+O32)*(O33-BT30)</f>
        <v>216.70505287896592</v>
      </c>
      <c r="BU31" s="84">
        <f t="shared" ref="BU31" ca="1" si="1062">P31/(P31+P32)*(P33-BU30)</f>
        <v>249.8718801996672</v>
      </c>
      <c r="BV31" s="84">
        <f t="shared" ref="BV31" ca="1" si="1063">Q31/(Q31+Q32)*(Q33-BV30)</f>
        <v>260.79969301611663</v>
      </c>
      <c r="BW31" s="84">
        <f t="shared" ref="BW31" ca="1" si="1064">R31/(R31+R32)*(R33-BW30)</f>
        <v>270.51744449478929</v>
      </c>
      <c r="BX31" s="84">
        <f t="shared" ref="BX31" ca="1" si="1065">S31/(S31+S32)*(S33-BX30)</f>
        <v>277.52876106194685</v>
      </c>
      <c r="BY31" s="84">
        <f t="shared" ref="BY31" ca="1" si="1066">T31/(T31+T32)*(T33-BY30)</f>
        <v>279.47906316536546</v>
      </c>
      <c r="BZ31" s="84">
        <f t="shared" ref="BZ31" ca="1" si="1067">U31/(U31+U32)*(U33-BZ30)</f>
        <v>267.12871287128718</v>
      </c>
      <c r="CA31" s="84">
        <f t="shared" ref="CA31" ca="1" si="1068">V31/(V31+V32)*(V33-CA30)</f>
        <v>279.32890365448509</v>
      </c>
      <c r="CB31" s="84">
        <f t="shared" ref="CB31" ca="1" si="1069">W31/(W31+W32)*(W33-CB30)</f>
        <v>292.06381039197817</v>
      </c>
      <c r="CC31" s="84">
        <f t="shared" ref="CC31" ca="1" si="1070">X31/(X31+X32)*(X33-CC30)</f>
        <v>306.03594914511177</v>
      </c>
      <c r="CD31" s="84">
        <f t="shared" ref="CD31" ca="1" si="1071">Y31/(Y31+Y32)*(Y33-CD30)</f>
        <v>320.49831081081084</v>
      </c>
      <c r="CE31" s="84">
        <f t="shared" ref="CE31" ca="1" si="1072">Z31/(Z31+Z32)*(Z33-CE30)</f>
        <v>336.1384928716904</v>
      </c>
      <c r="CF31" s="84">
        <f t="shared" ref="CF31" ca="1" si="1073">AA31/(AA31+AA32)*(AA33-CF30)</f>
        <v>352.53894076328237</v>
      </c>
      <c r="CG31" s="84">
        <f t="shared" ref="CG31" ca="1" si="1074">AB31/(AB31+AB32)*(AB33-CG30)</f>
        <v>369.84250907655468</v>
      </c>
      <c r="CH31" s="84">
        <f t="shared" ref="CH31" ca="1" si="1075">AC31/(AC31+AC32)*(AC33-CH30)</f>
        <v>388.08090734118406</v>
      </c>
      <c r="CI31" s="84">
        <f t="shared" ref="CI31" ca="1" si="1076">AD31/(AD31+AD32)*(AD33-CI30)</f>
        <v>407.28735629439876</v>
      </c>
      <c r="CJ31" s="84">
        <f t="shared" ref="CJ31" ca="1" si="1077">AE31/(AE31+AE32)*(AE33-CJ30)</f>
        <v>425.60753759884057</v>
      </c>
      <c r="CK31" s="84">
        <f t="shared" ref="CK31" ca="1" si="1078">AF31/(AF31+AF32)*(AF33-CK30)</f>
        <v>451.57439458357811</v>
      </c>
      <c r="CL31" s="84">
        <f t="shared" ref="CL31" ca="1" si="1079">AG31/(AG31+AG32)*(AG33-CL30)</f>
        <v>769.50117316210446</v>
      </c>
      <c r="CM31" s="84">
        <f t="shared" ref="CM31" ca="1" si="1080">AH31/(AH31+AH32)*(AH33-CM30)</f>
        <v>1391.2630843863808</v>
      </c>
      <c r="CN31" s="118" t="str">
        <f t="shared" ca="1" si="974"/>
        <v xml:space="preserve">2.7 3.8 8.6 13.6 19 22.4 23.8 25.1 26.2 26.8 26.1 27.3 28.6 30.1 31.6 33.2 34.9 36.7 38.6 40.5 42.5 45.1 76.8 138.8 </v>
      </c>
      <c r="CO31" s="117">
        <f t="shared" ref="CO31:CO32" ca="1" si="1081">ROUND(BP31*(1-AQ31)*(1-$AK31)/8.76,1)</f>
        <v>2.7</v>
      </c>
      <c r="CP31" s="117">
        <f t="shared" ca="1" si="975"/>
        <v>3.8</v>
      </c>
      <c r="CQ31" s="117">
        <f t="shared" ca="1" si="976"/>
        <v>8.6</v>
      </c>
      <c r="CR31" s="117">
        <f t="shared" ca="1" si="977"/>
        <v>13.6</v>
      </c>
      <c r="CS31" s="117">
        <f t="shared" ca="1" si="978"/>
        <v>19</v>
      </c>
      <c r="CT31" s="117">
        <f t="shared" ca="1" si="979"/>
        <v>22.4</v>
      </c>
      <c r="CU31" s="117">
        <f t="shared" ca="1" si="980"/>
        <v>23.8</v>
      </c>
      <c r="CV31" s="117">
        <f t="shared" ca="1" si="981"/>
        <v>25.1</v>
      </c>
      <c r="CW31" s="117">
        <f t="shared" ca="1" si="982"/>
        <v>26.2</v>
      </c>
      <c r="CX31" s="117">
        <f t="shared" ca="1" si="983"/>
        <v>26.8</v>
      </c>
      <c r="CY31" s="117">
        <f t="shared" ca="1" si="984"/>
        <v>26.1</v>
      </c>
      <c r="CZ31" s="117">
        <f t="shared" ca="1" si="985"/>
        <v>27.3</v>
      </c>
      <c r="DA31" s="117">
        <f t="shared" ca="1" si="986"/>
        <v>28.6</v>
      </c>
      <c r="DB31" s="117">
        <f t="shared" ca="1" si="987"/>
        <v>30.1</v>
      </c>
      <c r="DC31" s="117">
        <f t="shared" ca="1" si="988"/>
        <v>31.6</v>
      </c>
      <c r="DD31" s="117">
        <f t="shared" ca="1" si="989"/>
        <v>33.200000000000003</v>
      </c>
      <c r="DE31" s="117">
        <f t="shared" ref="DE31:DE32" ca="1" si="1082">ROUND(CF31*(1-BG31)*(1-$AK31)/8.76,1)</f>
        <v>34.9</v>
      </c>
      <c r="DF31" s="117">
        <f t="shared" ca="1" si="990"/>
        <v>36.700000000000003</v>
      </c>
      <c r="DG31" s="117">
        <f t="shared" ca="1" si="991"/>
        <v>38.6</v>
      </c>
      <c r="DH31" s="117">
        <f t="shared" ref="DH31:DH32" ca="1" si="1083">ROUND(CI31*(1-BJ31)*(1-$AK31)/8.76,1)</f>
        <v>40.5</v>
      </c>
      <c r="DI31" s="117">
        <f t="shared" ca="1" si="992"/>
        <v>42.5</v>
      </c>
      <c r="DJ31" s="117">
        <f t="shared" ref="DJ31:DJ32" ca="1" si="1084">ROUND(CK31*(1-BL31)*(1-$AK31)/8.76,1)</f>
        <v>45.1</v>
      </c>
      <c r="DK31" s="117">
        <f t="shared" ref="DK31:DK32" ca="1" si="1085">ROUND(CL31*(1-BM31)*(1-$AK31)/8.76,1)</f>
        <v>76.8</v>
      </c>
      <c r="DL31" s="117">
        <f t="shared" ca="1" si="993"/>
        <v>138.80000000000001</v>
      </c>
      <c r="DM31" s="118" t="str">
        <f t="shared" si="994"/>
        <v xml:space="preserve">0.75 0.765 0.78 0.795 0.81 0.825 0.84 0.855 0.87 0.885 0.9 0.902 0.904 0.906 0.908 0.91 0.912 0.914 0.916 0.918 0.92 0.92 0.92 0.92 </v>
      </c>
      <c r="DN31" s="72">
        <f t="shared" ref="DN31:DN32" si="1086">1-AQ31</f>
        <v>0.75</v>
      </c>
      <c r="DO31" s="72">
        <f t="shared" si="995"/>
        <v>0.76500000000000001</v>
      </c>
      <c r="DP31" s="72">
        <f t="shared" si="996"/>
        <v>0.78</v>
      </c>
      <c r="DQ31" s="72">
        <f t="shared" si="997"/>
        <v>0.79500000000000004</v>
      </c>
      <c r="DR31" s="72">
        <f t="shared" si="998"/>
        <v>0.81</v>
      </c>
      <c r="DS31" s="72">
        <f t="shared" si="999"/>
        <v>0.82500000000000007</v>
      </c>
      <c r="DT31" s="72">
        <f t="shared" si="1000"/>
        <v>0.84000000000000008</v>
      </c>
      <c r="DU31" s="72">
        <f t="shared" si="1001"/>
        <v>0.85500000000000009</v>
      </c>
      <c r="DV31" s="72">
        <f t="shared" si="1002"/>
        <v>0.87000000000000011</v>
      </c>
      <c r="DW31" s="72">
        <f t="shared" si="1003"/>
        <v>0.88500000000000012</v>
      </c>
      <c r="DX31" s="72">
        <f t="shared" si="1004"/>
        <v>0.9</v>
      </c>
      <c r="DY31" s="72">
        <f t="shared" si="1005"/>
        <v>0.90200000000000002</v>
      </c>
      <c r="DZ31" s="72">
        <f t="shared" si="1006"/>
        <v>0.90400000000000003</v>
      </c>
      <c r="EA31" s="72">
        <f t="shared" si="1007"/>
        <v>0.90600000000000003</v>
      </c>
      <c r="EB31" s="72">
        <f t="shared" si="1008"/>
        <v>0.90800000000000003</v>
      </c>
      <c r="EC31" s="72">
        <f t="shared" si="1009"/>
        <v>0.91</v>
      </c>
      <c r="ED31" s="72">
        <f t="shared" si="1010"/>
        <v>0.91200000000000003</v>
      </c>
      <c r="EE31" s="72">
        <f t="shared" si="1011"/>
        <v>0.91400000000000003</v>
      </c>
      <c r="EF31" s="72">
        <f t="shared" si="1012"/>
        <v>0.91600000000000004</v>
      </c>
      <c r="EG31" s="72">
        <f t="shared" si="1013"/>
        <v>0.91800000000000004</v>
      </c>
      <c r="EH31" s="72">
        <f t="shared" si="1014"/>
        <v>0.92</v>
      </c>
      <c r="EI31" s="72">
        <f t="shared" si="1015"/>
        <v>0.92</v>
      </c>
      <c r="EJ31" s="72">
        <f t="shared" si="1016"/>
        <v>0.92</v>
      </c>
      <c r="EK31" s="72">
        <f t="shared" si="1017"/>
        <v>0.92</v>
      </c>
    </row>
    <row r="32" spans="1:141" x14ac:dyDescent="0.25">
      <c r="A32" t="str">
        <f t="shared" si="20"/>
        <v>RuralLIB</v>
      </c>
      <c r="B32" t="str">
        <f t="shared" si="971"/>
        <v>Rural</v>
      </c>
      <c r="C32" t="str">
        <f>IFERROR(VLOOKUP(D32,'For model'!$B$4:$C$16,2,FALSE),C31)</f>
        <v>LIB</v>
      </c>
      <c r="D32" t="s">
        <v>518</v>
      </c>
      <c r="E32" s="72">
        <v>0.02</v>
      </c>
      <c r="F32" s="72">
        <v>0.03</v>
      </c>
      <c r="G32" s="72">
        <v>0.05</v>
      </c>
      <c r="H32" s="72">
        <v>0.1</v>
      </c>
      <c r="I32" s="72">
        <v>0.1</v>
      </c>
      <c r="K32" s="72">
        <f t="shared" si="1020"/>
        <v>0.02</v>
      </c>
      <c r="L32" s="72">
        <f t="shared" ref="L32:O32" si="1087">($P32-$K32)/($P$4-$K$4)+K32</f>
        <v>2.1999999999999999E-2</v>
      </c>
      <c r="M32" s="72">
        <f t="shared" si="1087"/>
        <v>2.3999999999999997E-2</v>
      </c>
      <c r="N32" s="72">
        <f t="shared" si="1087"/>
        <v>2.5999999999999995E-2</v>
      </c>
      <c r="O32" s="72">
        <f t="shared" si="1087"/>
        <v>2.7999999999999994E-2</v>
      </c>
      <c r="P32" s="72">
        <f t="shared" si="1022"/>
        <v>0.03</v>
      </c>
      <c r="Q32" s="72">
        <f t="shared" ref="Q32:T32" si="1088">($U32-$P32)/($U$4-$P$4)+P32</f>
        <v>3.4000000000000002E-2</v>
      </c>
      <c r="R32" s="72">
        <f t="shared" si="1088"/>
        <v>3.8000000000000006E-2</v>
      </c>
      <c r="S32" s="72">
        <f t="shared" si="1088"/>
        <v>4.200000000000001E-2</v>
      </c>
      <c r="T32" s="72">
        <f t="shared" si="1088"/>
        <v>4.6000000000000013E-2</v>
      </c>
      <c r="U32" s="72">
        <f t="shared" si="1024"/>
        <v>0.05</v>
      </c>
      <c r="V32" s="72">
        <f t="shared" si="1025"/>
        <v>5.5E-2</v>
      </c>
      <c r="W32" s="72">
        <f t="shared" si="1026"/>
        <v>0.06</v>
      </c>
      <c r="X32" s="72">
        <f t="shared" si="1027"/>
        <v>6.5000000000000002E-2</v>
      </c>
      <c r="Y32" s="72">
        <f t="shared" si="1028"/>
        <v>7.0000000000000007E-2</v>
      </c>
      <c r="Z32" s="72">
        <f t="shared" si="1029"/>
        <v>7.5000000000000011E-2</v>
      </c>
      <c r="AA32" s="72">
        <f t="shared" si="1030"/>
        <v>8.0000000000000016E-2</v>
      </c>
      <c r="AB32" s="72">
        <f t="shared" si="1031"/>
        <v>8.500000000000002E-2</v>
      </c>
      <c r="AC32" s="72">
        <f t="shared" si="1032"/>
        <v>9.0000000000000024E-2</v>
      </c>
      <c r="AD32" s="72">
        <f t="shared" si="1033"/>
        <v>9.5000000000000029E-2</v>
      </c>
      <c r="AE32" s="72">
        <f t="shared" si="1034"/>
        <v>0.1</v>
      </c>
      <c r="AF32" s="72">
        <f>(AH32-AE32)/(AH$4-AE$4)+AE32</f>
        <v>0.1</v>
      </c>
      <c r="AG32" s="72">
        <f t="shared" si="1035"/>
        <v>0.1</v>
      </c>
      <c r="AH32" s="72">
        <f>I32</f>
        <v>0.1</v>
      </c>
      <c r="AJ32" s="116">
        <f>1-((1-AL32)*K32+(1-AL31)*K31+(1-AL30)*K30)*(1-AK30)</f>
        <v>0.28844999999999998</v>
      </c>
      <c r="AK32" s="72">
        <f>AK31</f>
        <v>0.05</v>
      </c>
      <c r="AL32" s="72">
        <v>0.3</v>
      </c>
      <c r="AM32" s="72">
        <v>0.2</v>
      </c>
      <c r="AN32" s="72">
        <v>0.2</v>
      </c>
      <c r="AO32" s="72">
        <f>AN32</f>
        <v>0.2</v>
      </c>
      <c r="AP32" s="118" t="str">
        <f>AQ32&amp;" "&amp;AR32&amp;" "&amp;AS32&amp;" "&amp;AT32&amp;" "&amp;AU32&amp;" "&amp;AV32&amp;" "&amp;AW32&amp;" "&amp;AX32&amp;" "&amp;AY32&amp;" "&amp;AZ32&amp;" "&amp;BA32&amp;" "&amp;BB32&amp;" "&amp;BC32&amp;" "&amp;BD32&amp;" "&amp;BE32&amp;" "&amp;BF32&amp;" "&amp;BG32&amp;" "&amp;BH32&amp;" "&amp;BI32&amp;" "&amp;BJ32&amp;" "&amp;BK32&amp;" "&amp;BL32&amp;" "&amp;BM32&amp;" "&amp;BN32&amp;" "</f>
        <v xml:space="preserve">0.3 0.29 0.28 0.27 0.26 0.25 0.24 0.23 0.22 0.21 0.2 0.2 0.2 0.2 0.2 0.2 0.2 0.2 0.2 0.2 0.2 0.2 0.2 0.2 </v>
      </c>
      <c r="AQ32" s="72">
        <f t="shared" si="1036"/>
        <v>0.3</v>
      </c>
      <c r="AR32" s="72">
        <f t="shared" si="1037"/>
        <v>0.28999999999999998</v>
      </c>
      <c r="AS32" s="72">
        <f t="shared" si="1038"/>
        <v>0.27999999999999997</v>
      </c>
      <c r="AT32" s="72">
        <f t="shared" si="1039"/>
        <v>0.26999999999999996</v>
      </c>
      <c r="AU32" s="72">
        <f t="shared" si="1040"/>
        <v>0.25999999999999995</v>
      </c>
      <c r="AV32" s="72">
        <f t="shared" si="1041"/>
        <v>0.24999999999999994</v>
      </c>
      <c r="AW32" s="72">
        <f t="shared" si="1042"/>
        <v>0.23999999999999994</v>
      </c>
      <c r="AX32" s="72">
        <f t="shared" si="1043"/>
        <v>0.22999999999999993</v>
      </c>
      <c r="AY32" s="72">
        <f t="shared" si="1044"/>
        <v>0.21999999999999992</v>
      </c>
      <c r="AZ32" s="72">
        <f t="shared" si="1045"/>
        <v>0.20999999999999991</v>
      </c>
      <c r="BA32" s="72">
        <f t="shared" si="1046"/>
        <v>0.2</v>
      </c>
      <c r="BB32" s="72">
        <f t="shared" si="1047"/>
        <v>0.2</v>
      </c>
      <c r="BC32" s="72">
        <f t="shared" si="1048"/>
        <v>0.2</v>
      </c>
      <c r="BD32" s="72">
        <f t="shared" si="1049"/>
        <v>0.2</v>
      </c>
      <c r="BE32" s="72">
        <f t="shared" si="1050"/>
        <v>0.2</v>
      </c>
      <c r="BF32" s="72">
        <f t="shared" si="1051"/>
        <v>0.2</v>
      </c>
      <c r="BG32" s="72">
        <f t="shared" si="1052"/>
        <v>0.2</v>
      </c>
      <c r="BH32" s="72">
        <f t="shared" si="1053"/>
        <v>0.2</v>
      </c>
      <c r="BI32" s="72">
        <f t="shared" si="1054"/>
        <v>0.2</v>
      </c>
      <c r="BJ32" s="72">
        <f t="shared" si="1055"/>
        <v>0.2</v>
      </c>
      <c r="BK32" s="72">
        <f t="shared" si="1056"/>
        <v>0.2</v>
      </c>
      <c r="BL32" s="72">
        <f>(BN32-BK32)/(BN$4-BK$4)+BK32</f>
        <v>0.2</v>
      </c>
      <c r="BM32" s="72">
        <f t="shared" si="1057"/>
        <v>0.2</v>
      </c>
      <c r="BN32" s="72">
        <f>AO32</f>
        <v>0.2</v>
      </c>
      <c r="BP32" s="84">
        <f ca="1">K32/(K31+K32)*(K33-BP30)</f>
        <v>0.68</v>
      </c>
      <c r="BQ32" s="84">
        <f t="shared" ref="BQ32" ca="1" si="1089">L32/(L31+L32)*(L33-BQ30)</f>
        <v>1.1236687676592045</v>
      </c>
      <c r="BR32" s="84">
        <f t="shared" ref="BR32" ca="1" si="1090">M32/(M31+M32)*(M33-BR30)</f>
        <v>2.9985721085197521</v>
      </c>
      <c r="BS32" s="84">
        <f t="shared" ref="BS32" ca="1" si="1091">N32/(N31+N32)*(N33-BS30)</f>
        <v>5.5719169077044421</v>
      </c>
      <c r="BT32" s="84">
        <f t="shared" ref="BT32" ca="1" si="1092">O32/(O31+O32)*(O33-BT30)</f>
        <v>9.2949471210340739</v>
      </c>
      <c r="BU32" s="84">
        <f t="shared" ref="BU32" ca="1" si="1093">P32/(P31+P32)*(P33-BU30)</f>
        <v>13.128119800332778</v>
      </c>
      <c r="BV32" s="84">
        <f t="shared" ref="BV32" ca="1" si="1094">Q32/(Q31+Q32)*(Q33-BV30)</f>
        <v>18.200306983883348</v>
      </c>
      <c r="BW32" s="84">
        <f t="shared" ref="BW32" ca="1" si="1095">R32/(R31+R32)*(R33-BW30)</f>
        <v>25.482555505210694</v>
      </c>
      <c r="BX32" s="84">
        <f t="shared" ref="BX32" ca="1" si="1096">S32/(S31+S32)*(S33-BX30)</f>
        <v>36.471238938053105</v>
      </c>
      <c r="BY32" s="84">
        <f t="shared" ref="BY32" ca="1" si="1097">T32/(T31+T32)*(T33-BY30)</f>
        <v>54.520936834634497</v>
      </c>
      <c r="BZ32" s="84">
        <f t="shared" ref="BZ32" ca="1" si="1098">U32/(U31+U32)*(U33-BZ30)</f>
        <v>87.871287128712851</v>
      </c>
      <c r="CA32" s="84">
        <f t="shared" ref="CA32" ca="1" si="1099">V32/(V31+V32)*(V33-CA30)</f>
        <v>98.671096345514925</v>
      </c>
      <c r="CB32" s="84">
        <f t="shared" ref="CB32" ca="1" si="1100">W32/(W31+W32)*(W33-CB30)</f>
        <v>109.93618960802186</v>
      </c>
      <c r="CC32" s="84">
        <f t="shared" ref="CC32" ca="1" si="1101">X32/(X31+X32)*(X33-CC30)</f>
        <v>121.9640508548882</v>
      </c>
      <c r="CD32" s="84">
        <f t="shared" ref="CD32" ca="1" si="1102">Y32/(Y31+Y32)*(Y33-CD30)</f>
        <v>134.50168918918919</v>
      </c>
      <c r="CE32" s="84">
        <f t="shared" ref="CE32" ca="1" si="1103">Z32/(Z31+Z32)*(Z33-CE30)</f>
        <v>147.8615071283096</v>
      </c>
      <c r="CF32" s="84">
        <f t="shared" ref="CF32" ca="1" si="1104">AA32/(AA31+AA32)*(AA33-CF30)</f>
        <v>161.90077646993456</v>
      </c>
      <c r="CG32" s="84">
        <f t="shared" ref="CG32" ca="1" si="1105">AB32/(AB31+AB32)*(AB33-CG30)</f>
        <v>176.7094618971735</v>
      </c>
      <c r="CH32" s="84">
        <f t="shared" ref="CH32" ca="1" si="1106">AC32/(AC31+AC32)*(AC33-CH30)</f>
        <v>192.33084614926537</v>
      </c>
      <c r="CI32" s="84">
        <f t="shared" ref="CI32" ca="1" si="1107">AD32/(AD31+AD32)*(AD33-CI30)</f>
        <v>208.80895222864498</v>
      </c>
      <c r="CJ32" s="84">
        <f t="shared" ref="CJ32" ca="1" si="1108">AE32/(AE31+AE32)*(AE33-CJ30)</f>
        <v>225.18917333271995</v>
      </c>
      <c r="CK32" s="84">
        <f t="shared" ref="CK32" ca="1" si="1109">AF32/(AF31+AF32)*(AF33-CK30)</f>
        <v>238.92825110242237</v>
      </c>
      <c r="CL32" s="84">
        <f t="shared" ref="CL32" ca="1" si="1110">AG32/(AG31+AG32)*(AG33-CL30)</f>
        <v>407.14347786354745</v>
      </c>
      <c r="CM32" s="84">
        <f t="shared" ref="CM32" ca="1" si="1111">AH32/(AH31+AH32)*(AH33-CM30)</f>
        <v>736.1180340668684</v>
      </c>
      <c r="CN32" s="118" t="str">
        <f t="shared" ca="1" si="974"/>
        <v xml:space="preserve">0.1 0.1 0.2 0.4 0.7 1.1 1.5 2.1 3.1 4.7 7.6 8.6 9.5 10.6 11.7 12.8 14 15.3 16.7 18.1 19.5 20.7 35.3 63.9 </v>
      </c>
      <c r="CO32" s="117">
        <f t="shared" ca="1" si="1081"/>
        <v>0.1</v>
      </c>
      <c r="CP32" s="117">
        <f t="shared" ca="1" si="975"/>
        <v>0.1</v>
      </c>
      <c r="CQ32" s="117">
        <f t="shared" ca="1" si="976"/>
        <v>0.2</v>
      </c>
      <c r="CR32" s="117">
        <f t="shared" ca="1" si="977"/>
        <v>0.4</v>
      </c>
      <c r="CS32" s="117">
        <f t="shared" ca="1" si="978"/>
        <v>0.7</v>
      </c>
      <c r="CT32" s="117">
        <f t="shared" ca="1" si="979"/>
        <v>1.1000000000000001</v>
      </c>
      <c r="CU32" s="117">
        <f t="shared" ca="1" si="980"/>
        <v>1.5</v>
      </c>
      <c r="CV32" s="117">
        <f t="shared" ca="1" si="981"/>
        <v>2.1</v>
      </c>
      <c r="CW32" s="117">
        <f t="shared" ca="1" si="982"/>
        <v>3.1</v>
      </c>
      <c r="CX32" s="117">
        <f t="shared" ca="1" si="983"/>
        <v>4.7</v>
      </c>
      <c r="CY32" s="117">
        <f t="shared" ca="1" si="984"/>
        <v>7.6</v>
      </c>
      <c r="CZ32" s="117">
        <f t="shared" ca="1" si="985"/>
        <v>8.6</v>
      </c>
      <c r="DA32" s="117">
        <f t="shared" ca="1" si="986"/>
        <v>9.5</v>
      </c>
      <c r="DB32" s="117">
        <f t="shared" ca="1" si="987"/>
        <v>10.6</v>
      </c>
      <c r="DC32" s="117">
        <f t="shared" ca="1" si="988"/>
        <v>11.7</v>
      </c>
      <c r="DD32" s="117">
        <f t="shared" ca="1" si="989"/>
        <v>12.8</v>
      </c>
      <c r="DE32" s="117">
        <f t="shared" ca="1" si="1082"/>
        <v>14</v>
      </c>
      <c r="DF32" s="117">
        <f t="shared" ca="1" si="990"/>
        <v>15.3</v>
      </c>
      <c r="DG32" s="117">
        <f t="shared" ca="1" si="991"/>
        <v>16.7</v>
      </c>
      <c r="DH32" s="117">
        <f t="shared" ca="1" si="1083"/>
        <v>18.100000000000001</v>
      </c>
      <c r="DI32" s="117">
        <f t="shared" ca="1" si="992"/>
        <v>19.5</v>
      </c>
      <c r="DJ32" s="117">
        <f t="shared" ca="1" si="1084"/>
        <v>20.7</v>
      </c>
      <c r="DK32" s="117">
        <f t="shared" ca="1" si="1085"/>
        <v>35.299999999999997</v>
      </c>
      <c r="DL32" s="117">
        <f t="shared" ca="1" si="993"/>
        <v>63.9</v>
      </c>
      <c r="DM32" s="118" t="str">
        <f t="shared" si="994"/>
        <v xml:space="preserve">0.7 0.71 0.72 0.73 0.74 0.75 0.76 0.77 0.78 0.79 0.8 0.8 0.8 0.8 0.8 0.8 0.8 0.8 0.8 0.8 0.8 0.8 0.8 0.8 </v>
      </c>
      <c r="DN32" s="72">
        <f t="shared" si="1086"/>
        <v>0.7</v>
      </c>
      <c r="DO32" s="72">
        <f t="shared" si="995"/>
        <v>0.71</v>
      </c>
      <c r="DP32" s="72">
        <f t="shared" si="996"/>
        <v>0.72</v>
      </c>
      <c r="DQ32" s="72">
        <f t="shared" si="997"/>
        <v>0.73</v>
      </c>
      <c r="DR32" s="72">
        <f t="shared" si="998"/>
        <v>0.74</v>
      </c>
      <c r="DS32" s="72">
        <f t="shared" si="999"/>
        <v>0.75</v>
      </c>
      <c r="DT32" s="72">
        <f t="shared" si="1000"/>
        <v>0.76</v>
      </c>
      <c r="DU32" s="72">
        <f t="shared" si="1001"/>
        <v>0.77</v>
      </c>
      <c r="DV32" s="72">
        <f t="shared" si="1002"/>
        <v>0.78</v>
      </c>
      <c r="DW32" s="72">
        <f t="shared" si="1003"/>
        <v>0.79</v>
      </c>
      <c r="DX32" s="72">
        <f t="shared" si="1004"/>
        <v>0.8</v>
      </c>
      <c r="DY32" s="72">
        <f t="shared" si="1005"/>
        <v>0.8</v>
      </c>
      <c r="DZ32" s="72">
        <f t="shared" si="1006"/>
        <v>0.8</v>
      </c>
      <c r="EA32" s="72">
        <f t="shared" si="1007"/>
        <v>0.8</v>
      </c>
      <c r="EB32" s="72">
        <f t="shared" si="1008"/>
        <v>0.8</v>
      </c>
      <c r="EC32" s="72">
        <f t="shared" si="1009"/>
        <v>0.8</v>
      </c>
      <c r="ED32" s="72">
        <f t="shared" si="1010"/>
        <v>0.8</v>
      </c>
      <c r="EE32" s="72">
        <f t="shared" si="1011"/>
        <v>0.8</v>
      </c>
      <c r="EF32" s="72">
        <f t="shared" si="1012"/>
        <v>0.8</v>
      </c>
      <c r="EG32" s="72">
        <f t="shared" si="1013"/>
        <v>0.8</v>
      </c>
      <c r="EH32" s="72">
        <f t="shared" si="1014"/>
        <v>0.8</v>
      </c>
      <c r="EI32" s="72">
        <f t="shared" si="1015"/>
        <v>0.8</v>
      </c>
      <c r="EJ32" s="72">
        <f t="shared" si="1016"/>
        <v>0.8</v>
      </c>
      <c r="EK32" s="72">
        <f t="shared" si="1017"/>
        <v>0.8</v>
      </c>
    </row>
    <row r="33" spans="1:141" x14ac:dyDescent="0.25">
      <c r="A33" t="str">
        <f t="shared" si="20"/>
        <v>LIB</v>
      </c>
      <c r="C33" t="str">
        <f>IFERROR(VLOOKUP(D33,'For model'!$B$4:$C$16,2,FALSE),C32)</f>
        <v>LIB</v>
      </c>
      <c r="D33" t="s">
        <v>537</v>
      </c>
      <c r="K33" s="84">
        <f ca="1">OFFSET(SourceData!$BS$4,MATCH(K29,SourceData!$BS$5:$BS$28,0),MATCH($C33,SourceData!$BT$3:$CF$3,0))</f>
        <v>34</v>
      </c>
      <c r="L33" s="84">
        <f ca="1">OFFSET(SourceData!$BS$4,MATCH(L29,SourceData!$BS$5:$BS$28,0),MATCH($C33,SourceData!$BT$3:$CF$3,0))</f>
        <v>47</v>
      </c>
      <c r="M33" s="84">
        <f ca="1">OFFSET(SourceData!$BS$4,MATCH(M29,SourceData!$BS$5:$BS$28,0),MATCH($C33,SourceData!$BT$3:$CF$3,0))</f>
        <v>138</v>
      </c>
      <c r="N33" s="84">
        <f ca="1">OFFSET(SourceData!$BS$4,MATCH(N29,SourceData!$BS$5:$BS$28,0),MATCH($C33,SourceData!$BT$3:$CF$3,0))</f>
        <v>294</v>
      </c>
      <c r="O33" s="84">
        <f ca="1">OFFSET(SourceData!$BS$4,MATCH(O29,SourceData!$BS$5:$BS$28,0),MATCH($C33,SourceData!$BT$3:$CF$3,0))</f>
        <v>883</v>
      </c>
      <c r="P33" s="84">
        <f ca="1">OFFSET(SourceData!$BS$4,MATCH(P29,SourceData!$BS$5:$BS$28,0),MATCH($C33,SourceData!$BT$3:$CF$3,0))</f>
        <v>1446</v>
      </c>
      <c r="Q33" s="84">
        <f ca="1">OFFSET(SourceData!$BS$4,MATCH(Q29,SourceData!$BS$5:$BS$28,0),MATCH($C33,SourceData!$BT$3:$CF$3,0))</f>
        <v>2119</v>
      </c>
      <c r="R33" s="84">
        <f ca="1">OFFSET(SourceData!$BS$4,MATCH(R29,SourceData!$BS$5:$BS$28,0),MATCH($C33,SourceData!$BT$3:$CF$3,0))</f>
        <v>2136</v>
      </c>
      <c r="S33" s="84">
        <f ca="1">OFFSET(SourceData!$BS$4,MATCH(S29,SourceData!$BS$5:$BS$28,0),MATCH($C33,SourceData!$BT$3:$CF$3,0))</f>
        <v>2154</v>
      </c>
      <c r="T33" s="84">
        <f ca="1">OFFSET(SourceData!$BS$4,MATCH(T29,SourceData!$BS$5:$BS$28,0),MATCH($C33,SourceData!$BT$3:$CF$3,0))</f>
        <v>2174</v>
      </c>
      <c r="U33" s="84">
        <f ca="1">OFFSET(SourceData!$BS$4,MATCH(U29,SourceData!$BS$5:$BS$28,0),MATCH($C33,SourceData!$BT$3:$CF$3,0))</f>
        <v>2195</v>
      </c>
      <c r="V33" s="84">
        <f ca="1">OFFSET(SourceData!$BS$4,MATCH(V29,SourceData!$BS$5:$BS$28,0),MATCH($C33,SourceData!$BT$3:$CF$3,0))</f>
        <v>2218</v>
      </c>
      <c r="W33" s="84">
        <f ca="1">OFFSET(SourceData!$BS$4,MATCH(W29,SourceData!$BS$5:$BS$28,0),MATCH($C33,SourceData!$BT$3:$CF$3,0))</f>
        <v>2242</v>
      </c>
      <c r="X33" s="84">
        <f ca="1">OFFSET(SourceData!$BS$4,MATCH(X29,SourceData!$BS$5:$BS$28,0),MATCH($C33,SourceData!$BT$3:$CF$3,0))</f>
        <v>2268</v>
      </c>
      <c r="Y33" s="84">
        <f ca="1">OFFSET(SourceData!$BS$4,MATCH(Y29,SourceData!$BS$5:$BS$28,0),MATCH($C33,SourceData!$BT$3:$CF$3,0))</f>
        <v>2295</v>
      </c>
      <c r="Z33" s="84">
        <f ca="1">OFFSET(SourceData!$BS$4,MATCH(Z29,SourceData!$BS$5:$BS$28,0),MATCH($C33,SourceData!$BT$3:$CF$3,0))</f>
        <v>2324</v>
      </c>
      <c r="AA33" s="84">
        <f ca="1">OFFSET(SourceData!$BS$4,MATCH(AA29,SourceData!$BS$5:$BS$28,0),MATCH($C33,SourceData!$BT$3:$CF$3,0))</f>
        <v>2354.4397172332169</v>
      </c>
      <c r="AB33" s="84">
        <f ca="1">OFFSET(SourceData!$BS$4,MATCH(AB29,SourceData!$BS$5:$BS$28,0),MATCH($C33,SourceData!$BT$3:$CF$3,0))</f>
        <v>2386.5519709737282</v>
      </c>
      <c r="AC33" s="84">
        <f ca="1">OFFSET(SourceData!$BS$4,MATCH(AC29,SourceData!$BS$5:$BS$28,0),MATCH($C33,SourceData!$BT$3:$CF$3,0))</f>
        <v>2420.4117534904494</v>
      </c>
      <c r="AD33" s="84">
        <f ca="1">OFFSET(SourceData!$BS$4,MATCH(AD29,SourceData!$BS$5:$BS$28,0),MATCH($C33,SourceData!$BT$3:$CF$3,0))</f>
        <v>2456.0963085230437</v>
      </c>
      <c r="AE33" s="84">
        <f ca="1">OFFSET(SourceData!$BS$4,MATCH(AE29,SourceData!$BS$5:$BS$28,0),MATCH($C33,SourceData!$BT$3:$CF$3,0))</f>
        <v>2490.7967109315605</v>
      </c>
      <c r="AF33" s="84">
        <f ca="1">OFFSET(SourceData!$BS$4,MATCH(AF29,SourceData!$BS$5:$BS$28,0),MATCH($C33,SourceData!$BT$3:$CF$3,0))</f>
        <v>2530.5026456860005</v>
      </c>
      <c r="AG33" s="84">
        <f ca="1">OFFSET(SourceData!$BS$4,MATCH(AG29,SourceData!$BS$5:$BS$28,0),MATCH($C33,SourceData!$BT$3:$CF$3,0))</f>
        <v>3016.6446510256519</v>
      </c>
      <c r="AH33" s="84">
        <f ca="1">OFFSET(SourceData!$BS$4,MATCH(AH29,SourceData!$BS$5:$BS$28,0),MATCH($C33,SourceData!$BT$3:$CF$3,0))</f>
        <v>3967.3811184532492</v>
      </c>
      <c r="BP33" s="84">
        <f ca="1">SUM(BP30:BP32)</f>
        <v>34</v>
      </c>
      <c r="BQ33" s="84">
        <f t="shared" ref="BQ33" ca="1" si="1112">SUM(BQ30:BQ32)</f>
        <v>47</v>
      </c>
      <c r="BR33" s="84">
        <f t="shared" ref="BR33" ca="1" si="1113">SUM(BR30:BR32)</f>
        <v>138</v>
      </c>
      <c r="BS33" s="84">
        <f t="shared" ref="BS33" ca="1" si="1114">SUM(BS30:BS32)</f>
        <v>294</v>
      </c>
      <c r="BT33" s="84">
        <f t="shared" ref="BT33" ca="1" si="1115">SUM(BT30:BT32)</f>
        <v>883</v>
      </c>
      <c r="BU33" s="84">
        <f t="shared" ref="BU33" ca="1" si="1116">SUM(BU30:BU32)</f>
        <v>1446</v>
      </c>
      <c r="BV33" s="84">
        <f t="shared" ref="BV33" ca="1" si="1117">SUM(BV30:BV32)</f>
        <v>2119</v>
      </c>
      <c r="BW33" s="84">
        <f t="shared" ref="BW33" ca="1" si="1118">SUM(BW30:BW32)</f>
        <v>2136</v>
      </c>
      <c r="BX33" s="84">
        <f t="shared" ref="BX33" ca="1" si="1119">SUM(BX30:BX32)</f>
        <v>2154</v>
      </c>
      <c r="BY33" s="84">
        <f t="shared" ref="BY33" ca="1" si="1120">SUM(BY30:BY32)</f>
        <v>2174</v>
      </c>
      <c r="BZ33" s="84">
        <f t="shared" ref="BZ33" ca="1" si="1121">SUM(BZ30:BZ32)</f>
        <v>2195</v>
      </c>
      <c r="CA33" s="84">
        <f t="shared" ref="CA33" ca="1" si="1122">SUM(CA30:CA32)</f>
        <v>2218</v>
      </c>
      <c r="CB33" s="84">
        <f t="shared" ref="CB33" ca="1" si="1123">SUM(CB30:CB32)</f>
        <v>2242</v>
      </c>
      <c r="CC33" s="84">
        <f t="shared" ref="CC33" ca="1" si="1124">SUM(CC30:CC32)</f>
        <v>2268</v>
      </c>
      <c r="CD33" s="84">
        <f t="shared" ref="CD33" ca="1" si="1125">SUM(CD30:CD32)</f>
        <v>2295</v>
      </c>
      <c r="CE33" s="84">
        <f t="shared" ref="CE33" ca="1" si="1126">SUM(CE30:CE32)</f>
        <v>2324</v>
      </c>
      <c r="CF33" s="84">
        <f t="shared" ref="CF33" ca="1" si="1127">SUM(CF30:CF32)</f>
        <v>2354.4397172332169</v>
      </c>
      <c r="CG33" s="84">
        <f t="shared" ref="CG33" ca="1" si="1128">SUM(CG30:CG32)</f>
        <v>2386.5519709737282</v>
      </c>
      <c r="CH33" s="84">
        <f t="shared" ref="CH33" ca="1" si="1129">SUM(CH30:CH32)</f>
        <v>2420.4117534904494</v>
      </c>
      <c r="CI33" s="84">
        <f t="shared" ref="CI33" ca="1" si="1130">SUM(CI30:CI32)</f>
        <v>2456.0963085230437</v>
      </c>
      <c r="CJ33" s="84">
        <f t="shared" ref="CJ33" ca="1" si="1131">SUM(CJ30:CJ32)</f>
        <v>2490.7967109315605</v>
      </c>
      <c r="CK33" s="84">
        <f t="shared" ref="CK33" ca="1" si="1132">SUM(CK30:CK32)</f>
        <v>2530.5026456860005</v>
      </c>
      <c r="CL33" s="84">
        <f t="shared" ref="CL33" ca="1" si="1133">SUM(CL30:CL32)</f>
        <v>3016.6446510256519</v>
      </c>
      <c r="CM33" s="84">
        <f t="shared" ref="CM33" ca="1" si="1134">SUM(CM30:CM32)</f>
        <v>3967.3811184532492</v>
      </c>
    </row>
    <row r="34" spans="1:141" x14ac:dyDescent="0.25">
      <c r="A34" t="str">
        <f t="shared" si="20"/>
        <v>MAL</v>
      </c>
      <c r="C34" t="str">
        <f>IFERROR(VLOOKUP(D34,'For model'!$B$4:$C$16,2,FALSE),C33)</f>
        <v>MAL</v>
      </c>
      <c r="D34" s="92" t="s">
        <v>78</v>
      </c>
      <c r="E34">
        <v>2010</v>
      </c>
      <c r="F34">
        <v>2015</v>
      </c>
      <c r="G34">
        <v>2020</v>
      </c>
      <c r="H34">
        <v>2030</v>
      </c>
      <c r="I34">
        <f>I29</f>
        <v>2050</v>
      </c>
      <c r="K34">
        <v>2010</v>
      </c>
      <c r="L34">
        <f>K34+1</f>
        <v>2011</v>
      </c>
      <c r="M34">
        <f t="shared" ref="M34:U34" si="1135">L34+1</f>
        <v>2012</v>
      </c>
      <c r="N34">
        <f t="shared" si="1135"/>
        <v>2013</v>
      </c>
      <c r="O34">
        <f t="shared" si="1135"/>
        <v>2014</v>
      </c>
      <c r="P34">
        <f t="shared" si="1135"/>
        <v>2015</v>
      </c>
      <c r="Q34">
        <f t="shared" si="1135"/>
        <v>2016</v>
      </c>
      <c r="R34">
        <f t="shared" si="1135"/>
        <v>2017</v>
      </c>
      <c r="S34">
        <f t="shared" si="1135"/>
        <v>2018</v>
      </c>
      <c r="T34">
        <f t="shared" si="1135"/>
        <v>2019</v>
      </c>
      <c r="U34">
        <f t="shared" si="1135"/>
        <v>2020</v>
      </c>
      <c r="V34">
        <f t="shared" ref="V34:AF34" si="1136">U34+1</f>
        <v>2021</v>
      </c>
      <c r="W34">
        <f t="shared" si="1136"/>
        <v>2022</v>
      </c>
      <c r="X34">
        <f t="shared" si="1136"/>
        <v>2023</v>
      </c>
      <c r="Y34">
        <f t="shared" si="1136"/>
        <v>2024</v>
      </c>
      <c r="Z34">
        <f t="shared" si="1136"/>
        <v>2025</v>
      </c>
      <c r="AA34">
        <f t="shared" si="1136"/>
        <v>2026</v>
      </c>
      <c r="AB34">
        <f t="shared" si="1136"/>
        <v>2027</v>
      </c>
      <c r="AC34">
        <f t="shared" si="1136"/>
        <v>2028</v>
      </c>
      <c r="AD34">
        <f t="shared" si="1136"/>
        <v>2029</v>
      </c>
      <c r="AE34">
        <f t="shared" si="1136"/>
        <v>2030</v>
      </c>
      <c r="AF34">
        <f t="shared" si="1136"/>
        <v>2031</v>
      </c>
      <c r="AG34">
        <v>2040</v>
      </c>
      <c r="AH34">
        <v>2050</v>
      </c>
      <c r="AL34">
        <f>E34</f>
        <v>2010</v>
      </c>
      <c r="AM34">
        <f>G34</f>
        <v>2020</v>
      </c>
      <c r="AN34">
        <f>H34</f>
        <v>2030</v>
      </c>
      <c r="AO34">
        <f>I34</f>
        <v>2050</v>
      </c>
      <c r="AQ34">
        <v>2010</v>
      </c>
      <c r="AR34">
        <f>AQ34+1</f>
        <v>2011</v>
      </c>
      <c r="AS34">
        <f t="shared" ref="AS34:BL34" si="1137">AR34+1</f>
        <v>2012</v>
      </c>
      <c r="AT34">
        <f t="shared" si="1137"/>
        <v>2013</v>
      </c>
      <c r="AU34">
        <f t="shared" si="1137"/>
        <v>2014</v>
      </c>
      <c r="AV34">
        <f t="shared" si="1137"/>
        <v>2015</v>
      </c>
      <c r="AW34">
        <f t="shared" si="1137"/>
        <v>2016</v>
      </c>
      <c r="AX34">
        <f t="shared" si="1137"/>
        <v>2017</v>
      </c>
      <c r="AY34">
        <f t="shared" si="1137"/>
        <v>2018</v>
      </c>
      <c r="AZ34">
        <f t="shared" si="1137"/>
        <v>2019</v>
      </c>
      <c r="BA34">
        <f t="shared" si="1137"/>
        <v>2020</v>
      </c>
      <c r="BB34">
        <f t="shared" si="1137"/>
        <v>2021</v>
      </c>
      <c r="BC34">
        <f t="shared" si="1137"/>
        <v>2022</v>
      </c>
      <c r="BD34">
        <f t="shared" si="1137"/>
        <v>2023</v>
      </c>
      <c r="BE34">
        <f t="shared" si="1137"/>
        <v>2024</v>
      </c>
      <c r="BF34">
        <f t="shared" si="1137"/>
        <v>2025</v>
      </c>
      <c r="BG34">
        <f t="shared" si="1137"/>
        <v>2026</v>
      </c>
      <c r="BH34">
        <f t="shared" si="1137"/>
        <v>2027</v>
      </c>
      <c r="BI34">
        <f t="shared" si="1137"/>
        <v>2028</v>
      </c>
      <c r="BJ34">
        <f t="shared" si="1137"/>
        <v>2029</v>
      </c>
      <c r="BK34">
        <f t="shared" si="1137"/>
        <v>2030</v>
      </c>
      <c r="BL34">
        <f t="shared" si="1137"/>
        <v>2031</v>
      </c>
      <c r="BM34">
        <v>2040</v>
      </c>
      <c r="BN34">
        <v>2050</v>
      </c>
      <c r="BP34">
        <f>AQ34</f>
        <v>2010</v>
      </c>
      <c r="BQ34">
        <f t="shared" ref="BQ34" si="1138">AR34</f>
        <v>2011</v>
      </c>
      <c r="BR34">
        <f t="shared" ref="BR34" si="1139">AS34</f>
        <v>2012</v>
      </c>
      <c r="BS34">
        <f t="shared" ref="BS34" si="1140">AT34</f>
        <v>2013</v>
      </c>
      <c r="BT34">
        <f t="shared" ref="BT34" si="1141">AU34</f>
        <v>2014</v>
      </c>
      <c r="BU34">
        <f t="shared" ref="BU34" si="1142">AV34</f>
        <v>2015</v>
      </c>
      <c r="BV34">
        <f t="shared" ref="BV34" si="1143">AW34</f>
        <v>2016</v>
      </c>
      <c r="BW34">
        <f t="shared" ref="BW34" si="1144">AX34</f>
        <v>2017</v>
      </c>
      <c r="BX34">
        <f t="shared" ref="BX34" si="1145">AY34</f>
        <v>2018</v>
      </c>
      <c r="BY34">
        <f t="shared" ref="BY34" si="1146">AZ34</f>
        <v>2019</v>
      </c>
      <c r="BZ34">
        <f t="shared" ref="BZ34" si="1147">BA34</f>
        <v>2020</v>
      </c>
      <c r="CA34">
        <f t="shared" ref="CA34" si="1148">BB34</f>
        <v>2021</v>
      </c>
      <c r="CB34">
        <f t="shared" ref="CB34" si="1149">BC34</f>
        <v>2022</v>
      </c>
      <c r="CC34">
        <f t="shared" ref="CC34" si="1150">BD34</f>
        <v>2023</v>
      </c>
      <c r="CD34">
        <f t="shared" ref="CD34" si="1151">BE34</f>
        <v>2024</v>
      </c>
      <c r="CE34">
        <f t="shared" ref="CE34" si="1152">BF34</f>
        <v>2025</v>
      </c>
      <c r="CF34">
        <f t="shared" ref="CF34" si="1153">BG34</f>
        <v>2026</v>
      </c>
      <c r="CG34">
        <f t="shared" ref="CG34" si="1154">BH34</f>
        <v>2027</v>
      </c>
      <c r="CH34">
        <f t="shared" ref="CH34" si="1155">BI34</f>
        <v>2028</v>
      </c>
      <c r="CI34">
        <f t="shared" ref="CI34" si="1156">BJ34</f>
        <v>2029</v>
      </c>
      <c r="CJ34">
        <f t="shared" ref="CJ34" si="1157">BK34</f>
        <v>2030</v>
      </c>
      <c r="CK34">
        <f t="shared" ref="CK34" si="1158">BL34</f>
        <v>2031</v>
      </c>
      <c r="CL34">
        <f t="shared" ref="CL34" si="1159">BM34</f>
        <v>2040</v>
      </c>
      <c r="CM34">
        <f t="shared" ref="CM34" si="1160">BN34</f>
        <v>2050</v>
      </c>
      <c r="CO34">
        <f>BP34</f>
        <v>2010</v>
      </c>
      <c r="CP34">
        <f t="shared" ref="CP34" si="1161">BQ34</f>
        <v>2011</v>
      </c>
      <c r="CQ34">
        <f t="shared" ref="CQ34" si="1162">BR34</f>
        <v>2012</v>
      </c>
      <c r="CR34">
        <f t="shared" ref="CR34" si="1163">BS34</f>
        <v>2013</v>
      </c>
      <c r="CS34">
        <f t="shared" ref="CS34" si="1164">BT34</f>
        <v>2014</v>
      </c>
      <c r="CT34">
        <f t="shared" ref="CT34" si="1165">BU34</f>
        <v>2015</v>
      </c>
      <c r="CU34">
        <f t="shared" ref="CU34" si="1166">BV34</f>
        <v>2016</v>
      </c>
      <c r="CV34">
        <f t="shared" ref="CV34" si="1167">BW34</f>
        <v>2017</v>
      </c>
      <c r="CW34">
        <f t="shared" ref="CW34" si="1168">BX34</f>
        <v>2018</v>
      </c>
      <c r="CX34">
        <f t="shared" ref="CX34" si="1169">BY34</f>
        <v>2019</v>
      </c>
      <c r="CY34">
        <f t="shared" ref="CY34" si="1170">BZ34</f>
        <v>2020</v>
      </c>
      <c r="CZ34">
        <f t="shared" ref="CZ34" si="1171">CA34</f>
        <v>2021</v>
      </c>
      <c r="DA34">
        <f t="shared" ref="DA34" si="1172">CB34</f>
        <v>2022</v>
      </c>
      <c r="DB34">
        <f t="shared" ref="DB34" si="1173">CC34</f>
        <v>2023</v>
      </c>
      <c r="DC34">
        <f t="shared" ref="DC34" si="1174">CD34</f>
        <v>2024</v>
      </c>
      <c r="DD34">
        <f t="shared" ref="DD34" si="1175">CE34</f>
        <v>2025</v>
      </c>
      <c r="DE34">
        <f>CF34</f>
        <v>2026</v>
      </c>
      <c r="DF34">
        <f t="shared" ref="DF34" si="1176">CG34</f>
        <v>2027</v>
      </c>
      <c r="DG34">
        <f t="shared" ref="DG34" si="1177">CH34</f>
        <v>2028</v>
      </c>
      <c r="DH34">
        <f>CI34</f>
        <v>2029</v>
      </c>
      <c r="DI34">
        <f t="shared" ref="DI34" si="1178">CJ34</f>
        <v>2030</v>
      </c>
      <c r="DJ34">
        <f>CK34</f>
        <v>2031</v>
      </c>
      <c r="DK34">
        <f>CL34</f>
        <v>2040</v>
      </c>
      <c r="DL34">
        <f t="shared" ref="DL34" si="1179">CM34</f>
        <v>2050</v>
      </c>
    </row>
    <row r="35" spans="1:141" x14ac:dyDescent="0.25">
      <c r="A35" t="str">
        <f t="shared" si="20"/>
        <v>Heavy IndustryMAL</v>
      </c>
      <c r="B35" t="str">
        <f t="shared" ref="B35:B37" si="1180">B30</f>
        <v>Heavy Industry</v>
      </c>
      <c r="C35" t="str">
        <f>IFERROR(VLOOKUP(D35,'For model'!$B$4:$C$16,2,FALSE),C34)</f>
        <v>MAL</v>
      </c>
      <c r="D35" t="s">
        <v>535</v>
      </c>
      <c r="E35" s="72">
        <v>0.1</v>
      </c>
      <c r="F35" s="72">
        <v>0.4</v>
      </c>
      <c r="G35" s="72">
        <v>0.5</v>
      </c>
      <c r="H35" s="72">
        <v>0.55000000000000004</v>
      </c>
      <c r="I35" s="72">
        <v>0.6</v>
      </c>
      <c r="K35" s="72">
        <f>E35</f>
        <v>0.1</v>
      </c>
      <c r="L35" s="72">
        <f>($P35-$K35)/($P$4-$K$4)+K35</f>
        <v>0.16000000000000003</v>
      </c>
      <c r="M35" s="72">
        <f t="shared" ref="M35:O35" si="1181">($P35-$K35)/($P$4-$K$4)+L35</f>
        <v>0.22000000000000003</v>
      </c>
      <c r="N35" s="72">
        <f t="shared" si="1181"/>
        <v>0.28000000000000003</v>
      </c>
      <c r="O35" s="72">
        <f t="shared" si="1181"/>
        <v>0.34</v>
      </c>
      <c r="P35" s="72">
        <f>F35</f>
        <v>0.4</v>
      </c>
      <c r="Q35" s="72">
        <f>($U35-$P35)/($U$4-$P$4)+P35</f>
        <v>0.42000000000000004</v>
      </c>
      <c r="R35" s="72">
        <f t="shared" ref="R35:T35" si="1182">($U35-$P35)/($U$4-$P$4)+Q35</f>
        <v>0.44000000000000006</v>
      </c>
      <c r="S35" s="72">
        <f t="shared" si="1182"/>
        <v>0.46000000000000008</v>
      </c>
      <c r="T35" s="72">
        <f t="shared" si="1182"/>
        <v>0.48000000000000009</v>
      </c>
      <c r="U35" s="72">
        <f>G35</f>
        <v>0.5</v>
      </c>
      <c r="V35" s="72">
        <f>(AE35-U35)/(AE$4-U$4)+U35</f>
        <v>0.505</v>
      </c>
      <c r="W35" s="72">
        <f>(AE35-U35)/(AE$4-U$4)+V35</f>
        <v>0.51</v>
      </c>
      <c r="X35" s="72">
        <f>(AE35-U35)/(AE$4-U$4)+W35</f>
        <v>0.51500000000000001</v>
      </c>
      <c r="Y35" s="72">
        <f>(AE35-U35)/(AE$4-U$4)+X35</f>
        <v>0.52</v>
      </c>
      <c r="Z35" s="72">
        <f>(AE35-U35)/(AE$4-U$4)+Y35</f>
        <v>0.52500000000000002</v>
      </c>
      <c r="AA35" s="72">
        <f>(AE35-U35)/(AE$4-U$4)+Z35</f>
        <v>0.53</v>
      </c>
      <c r="AB35" s="72">
        <f>(AE35-U35)/(AE$4-U$4)+AA35</f>
        <v>0.53500000000000003</v>
      </c>
      <c r="AC35" s="72">
        <f>(AE35-U35)/(AE$4-U$4)+AB35</f>
        <v>0.54</v>
      </c>
      <c r="AD35" s="72">
        <f>(AE35-U35)/(AE$4-U$4)+AC35</f>
        <v>0.54500000000000004</v>
      </c>
      <c r="AE35" s="72">
        <f>H35</f>
        <v>0.55000000000000004</v>
      </c>
      <c r="AF35" s="72">
        <f>(AH35-AE35)/(AH$4-AE$4)+AE35</f>
        <v>0.55249999999999999</v>
      </c>
      <c r="AG35" s="72">
        <f>(AE35+AH35)/2</f>
        <v>0.57499999999999996</v>
      </c>
      <c r="AH35" s="72">
        <f>I35</f>
        <v>0.6</v>
      </c>
      <c r="AJ35" s="115">
        <f ca="1">SUMIF(SourceData!$Y$3:$AK$3,$C34,SourceData!$Y$1:$AK$1)</f>
        <v>0.21700000000000008</v>
      </c>
      <c r="AK35" s="72">
        <v>0.05</v>
      </c>
      <c r="AL35" s="94">
        <v>0.02</v>
      </c>
      <c r="AM35" s="72">
        <f>AL35</f>
        <v>0.02</v>
      </c>
      <c r="AN35" s="72">
        <v>0</v>
      </c>
      <c r="AO35" s="72">
        <v>0</v>
      </c>
      <c r="AP35" s="118" t="str">
        <f>AQ35&amp;" "&amp;AR35&amp;" "&amp;AS35&amp;" "&amp;AT35&amp;" "&amp;AU35&amp;" "&amp;AV35&amp;" "&amp;AW35&amp;" "&amp;AX35&amp;" "&amp;AY35&amp;" "&amp;AZ35&amp;" "&amp;BA35&amp;" "&amp;BB35&amp;" "&amp;BC35&amp;" "&amp;BD35&amp;" "&amp;BE35&amp;" "&amp;BF35&amp;" "&amp;BG35&amp;" "&amp;BH35&amp;" "&amp;BI35&amp;" "&amp;BJ35&amp;" "&amp;BK35&amp;" "&amp;BL35&amp;" "&amp;BM35&amp;" "&amp;BN35&amp;" "</f>
        <v xml:space="preserve">0.02 0.02 0.02 0.02 0.02 0.02 0.02 0.02 0.02 0.02 0.02 0.018 0.016 0.014 0.012 0.01 0.008 0.006 0.004 0.002 0 0 0 0 </v>
      </c>
      <c r="AQ35" s="72">
        <f>AL35</f>
        <v>0.02</v>
      </c>
      <c r="AR35" s="72">
        <f>(BA35-AQ35)/(BA$4-AQ$4)+AQ35</f>
        <v>0.02</v>
      </c>
      <c r="AS35" s="72">
        <f>(BA35-AQ35)/(BA$4-AQ$4)+AR35</f>
        <v>0.02</v>
      </c>
      <c r="AT35" s="72">
        <f>(BA35-AQ35)/(BA$4-AQ$4)+AS35</f>
        <v>0.02</v>
      </c>
      <c r="AU35" s="72">
        <f>(BA35-AQ35)/(BA$4-AQ$4)+AT35</f>
        <v>0.02</v>
      </c>
      <c r="AV35" s="72">
        <f>(BA35-AQ35)/(BA$4-AQ$4)+AU35</f>
        <v>0.02</v>
      </c>
      <c r="AW35" s="72">
        <f>(BA35-AQ35)/(BA$4-AQ$4)+AV35</f>
        <v>0.02</v>
      </c>
      <c r="AX35" s="72">
        <f>(BA35-AQ35)/(BA$4-AQ$4)+AW35</f>
        <v>0.02</v>
      </c>
      <c r="AY35" s="72">
        <f>(BA35-AQ35)/(BA$4-AQ$4)+AX35</f>
        <v>0.02</v>
      </c>
      <c r="AZ35" s="72">
        <f>(BA35-AQ35)/(BA$4-AQ$4)+AY35</f>
        <v>0.02</v>
      </c>
      <c r="BA35" s="72">
        <f>AM35</f>
        <v>0.02</v>
      </c>
      <c r="BB35" s="72">
        <f>(BK35-BA35)/(BK$4-BA$4)+BA35</f>
        <v>1.8000000000000002E-2</v>
      </c>
      <c r="BC35" s="72">
        <f>(BK35-BA35)/(BK$4-BA$4)+BB35</f>
        <v>1.6E-2</v>
      </c>
      <c r="BD35" s="72">
        <f>(BK35-BA35)/(BK$4-BA$4)+BC35</f>
        <v>1.4E-2</v>
      </c>
      <c r="BE35" s="72">
        <f>(BK35-BA35)/(BK$4-BA$4)+BD35</f>
        <v>1.2E-2</v>
      </c>
      <c r="BF35" s="72">
        <f>(BK35-BA35)/(BK$4-BA$4)+BE35</f>
        <v>0.01</v>
      </c>
      <c r="BG35" s="72">
        <f>(BK35-BA35)/(BK$4-BA$4)+BF35</f>
        <v>8.0000000000000002E-3</v>
      </c>
      <c r="BH35" s="72">
        <f>(BK35-BA35)/(BK$4-BA$4)+BG35</f>
        <v>6.0000000000000001E-3</v>
      </c>
      <c r="BI35" s="72">
        <f>(BK35-BA35)/(BK$4-BA$4)+BH35</f>
        <v>4.0000000000000001E-3</v>
      </c>
      <c r="BJ35" s="72">
        <f>(BK35-BA35)/(BK$4-BA$4)+BI35</f>
        <v>2E-3</v>
      </c>
      <c r="BK35" s="72">
        <f>AN35</f>
        <v>0</v>
      </c>
      <c r="BL35" s="72">
        <f>(BN35-BK35)/(BN$4-BK$4)+BK35</f>
        <v>0</v>
      </c>
      <c r="BM35" s="72">
        <f>(BK35+BN35)/2</f>
        <v>0</v>
      </c>
      <c r="BN35" s="72">
        <f>AO35</f>
        <v>0</v>
      </c>
      <c r="BO35">
        <f>SUMIF(SourceData!$BD$3:$BP$3,$C34,SourceData!$BD$1:$BP$1)</f>
        <v>0</v>
      </c>
      <c r="BP35" s="84">
        <f ca="1">IF($BO35,OFFSET(SourceData!$BC$4,MATCH(BP34,SourceData!$BC$5:$BC$28,0),MATCH($C38,SourceData!$BD$3:$BP$3,0)),K35*K38)</f>
        <v>109.80000000000001</v>
      </c>
      <c r="BQ35" s="84">
        <f ca="1">IF($BO35,OFFSET(SourceData!$BC$4,MATCH(BQ34,SourceData!$BC$5:$BC$28,0),MATCH($C38,SourceData!$BD$3:$BP$3,0)),L35*L38)</f>
        <v>181.76000000000005</v>
      </c>
      <c r="BR35" s="84">
        <f ca="1">IF($BO35,OFFSET(SourceData!$BC$4,MATCH(BR34,SourceData!$BC$5:$BC$28,0),MATCH($C38,SourceData!$BD$3:$BP$3,0)),M35*M38)</f>
        <v>271.04000000000002</v>
      </c>
      <c r="BS35" s="84">
        <f ca="1">IF($BO35,OFFSET(SourceData!$BC$4,MATCH(BS34,SourceData!$BC$5:$BC$28,0),MATCH($C38,SourceData!$BD$3:$BP$3,0)),N35*N38)</f>
        <v>386.96000000000004</v>
      </c>
      <c r="BT35" s="84">
        <f ca="1">IF($BO35,OFFSET(SourceData!$BC$4,MATCH(BT34,SourceData!$BC$5:$BC$28,0),MATCH($C38,SourceData!$BD$3:$BP$3,0)),O35*O38)</f>
        <v>717.74</v>
      </c>
      <c r="BU35" s="84">
        <f ca="1">IF($BO35,OFFSET(SourceData!$BC$4,MATCH(BU34,SourceData!$BC$5:$BC$28,0),MATCH($C38,SourceData!$BD$3:$BP$3,0)),P35*P38)</f>
        <v>890.40000000000009</v>
      </c>
      <c r="BV35" s="84">
        <f ca="1">IF($BO35,OFFSET(SourceData!$BC$4,MATCH(BV34,SourceData!$BC$5:$BC$28,0),MATCH($C38,SourceData!$BD$3:$BP$3,0)),Q35*Q38)</f>
        <v>1216.3200000000002</v>
      </c>
      <c r="BW35" s="84">
        <f ca="1">IF($BO35,OFFSET(SourceData!$BC$4,MATCH(BW34,SourceData!$BC$5:$BC$28,0),MATCH($C38,SourceData!$BD$3:$BP$3,0)),R35*R38)</f>
        <v>1318.68</v>
      </c>
      <c r="BX35" s="84">
        <f ca="1">IF($BO35,OFFSET(SourceData!$BC$4,MATCH(BX34,SourceData!$BC$5:$BC$28,0),MATCH($C38,SourceData!$BD$3:$BP$3,0)),S35*S38)</f>
        <v>1450.3800000000003</v>
      </c>
      <c r="BY35" s="84">
        <f ca="1">IF($BO35,OFFSET(SourceData!$BC$4,MATCH(BY34,SourceData!$BC$5:$BC$28,0),MATCH($C38,SourceData!$BD$3:$BP$3,0)),T35*T38)</f>
        <v>1559.0400000000002</v>
      </c>
      <c r="BZ35" s="84">
        <f ca="1">IF($BO35,OFFSET(SourceData!$BC$4,MATCH(BZ34,SourceData!$BC$5:$BC$28,0),MATCH($C38,SourceData!$BD$3:$BP$3,0)),U35*U38)</f>
        <v>1699</v>
      </c>
      <c r="CA35" s="84">
        <f ca="1">IF($BO35,OFFSET(SourceData!$BC$4,MATCH(CA34,SourceData!$BC$5:$BC$28,0),MATCH($C38,SourceData!$BD$3:$BP$3,0)),V35*V38)</f>
        <v>1801.335</v>
      </c>
      <c r="CB35" s="84">
        <f ca="1">IF($BO35,OFFSET(SourceData!$BC$4,MATCH(CB34,SourceData!$BC$5:$BC$28,0),MATCH($C38,SourceData!$BD$3:$BP$3,0)),W35*W38)</f>
        <v>1907.4</v>
      </c>
      <c r="CC35" s="84">
        <f ca="1">IF($BO35,OFFSET(SourceData!$BC$4,MATCH(CC34,SourceData!$BC$5:$BC$28,0),MATCH($C38,SourceData!$BD$3:$BP$3,0)),X35*X38)</f>
        <v>2016.74</v>
      </c>
      <c r="CD35" s="84">
        <f ca="1">IF($BO35,OFFSET(SourceData!$BC$4,MATCH(CD34,SourceData!$BC$5:$BC$28,0),MATCH($C38,SourceData!$BD$3:$BP$3,0)),Y35*Y38)</f>
        <v>2130.44</v>
      </c>
      <c r="CE35" s="84">
        <f ca="1">IF($BO35,OFFSET(SourceData!$BC$4,MATCH(CE34,SourceData!$BC$5:$BC$28,0),MATCH($C38,SourceData!$BD$3:$BP$3,0)),Z35*Z38)</f>
        <v>2248.0500000000002</v>
      </c>
      <c r="CF35" s="84">
        <f ca="1">IF($BO35,OFFSET(SourceData!$BC$4,MATCH(CF34,SourceData!$BC$5:$BC$28,0),MATCH($C38,SourceData!$BD$3:$BP$3,0)),AA35*AA38)</f>
        <v>2369.093844669474</v>
      </c>
      <c r="CG35" s="84">
        <f ca="1">IF($BO35,OFFSET(SourceData!$BC$4,MATCH(CG34,SourceData!$BC$5:$BC$28,0),MATCH($C38,SourceData!$BD$3:$BP$3,0)),AB35*AB38)</f>
        <v>2493.6972000957244</v>
      </c>
      <c r="CH35" s="84">
        <f ca="1">IF($BO35,OFFSET(SourceData!$BC$4,MATCH(CH34,SourceData!$BC$5:$BC$28,0),MATCH($C38,SourceData!$BD$3:$BP$3,0)),AC35*AC38)</f>
        <v>2621.7454485628095</v>
      </c>
      <c r="CI35" s="84">
        <f ca="1">IF($BO35,OFFSET(SourceData!$BC$4,MATCH(CI34,SourceData!$BC$5:$BC$28,0),MATCH($C38,SourceData!$BD$3:$BP$3,0)),AD35*AD38)</f>
        <v>2753.1055059558826</v>
      </c>
      <c r="CJ35" s="84">
        <f ca="1">IF($BO35,OFFSET(SourceData!$BC$4,MATCH(CJ34,SourceData!$BC$5:$BC$28,0),MATCH($C38,SourceData!$BD$3:$BP$3,0)),AE35*AE38)</f>
        <v>2856.0676430238441</v>
      </c>
      <c r="CK35" s="84">
        <f ca="1">IF($BO35,OFFSET(SourceData!$BC$4,MATCH(CK34,SourceData!$BC$5:$BC$28,0),MATCH($C38,SourceData!$BD$3:$BP$3,0)),AF35*AF38)</f>
        <v>2981.8782635733514</v>
      </c>
      <c r="CL35" s="84">
        <f ca="1">IF($BO35,OFFSET(SourceData!$BC$4,MATCH(CL34,SourceData!$BC$5:$BC$28,0),MATCH($C38,SourceData!$BD$3:$BP$3,0)),AG35*AG38)</f>
        <v>4391.2879639969524</v>
      </c>
      <c r="CM35" s="84">
        <f ca="1">IF($BO35,OFFSET(SourceData!$BC$4,MATCH(CM34,SourceData!$BC$5:$BC$28,0),MATCH($C38,SourceData!$BD$3:$BP$3,0)),AH35*AH38)</f>
        <v>6738.9711370810037</v>
      </c>
      <c r="CN35" s="118" t="str">
        <f t="shared" ref="CN35:CN37" ca="1" si="1183">CO35&amp;" "&amp;CP35&amp;" "&amp;CQ35&amp;" "&amp;CR35&amp;" "&amp;CS35&amp;" "&amp;CT35&amp;" "&amp;CU35&amp;" "&amp;CV35&amp;" "&amp;CW35&amp;" "&amp;CX35&amp;" "&amp;CY35&amp;" "&amp;CZ35&amp;" "&amp;DA35&amp;" "&amp;DB35&amp;" "&amp;DC35&amp;" "&amp;DD35&amp;" "&amp;DE35&amp;" "&amp;DF35&amp;" "&amp;DG35&amp;" "&amp;DH35&amp;" "&amp;DI35&amp;" "&amp;DJ35&amp;" "&amp;DK35&amp;" "&amp;DL35&amp;" "</f>
        <v xml:space="preserve">11.7 19.3 28.8 41.1 76.3 94.6 129.3 140.1 154.1 165.7 180.6 191.8 203.5 215.6 228.3 241.4 254.9 268.8 283.2 298 309.7 323.4 476.2 730.8 </v>
      </c>
      <c r="CO35" s="117">
        <f ca="1">ROUND(BP35*(1-AQ35)*(1-$AK35)/8.76,1)</f>
        <v>11.7</v>
      </c>
      <c r="CP35" s="117">
        <f t="shared" ref="CP35:CP37" ca="1" si="1184">ROUND(BQ35*(1-AR35)*(1-$AK35)/8.76,1)</f>
        <v>19.3</v>
      </c>
      <c r="CQ35" s="117">
        <f t="shared" ref="CQ35:CQ37" ca="1" si="1185">ROUND(BR35*(1-AS35)*(1-$AK35)/8.76,1)</f>
        <v>28.8</v>
      </c>
      <c r="CR35" s="117">
        <f t="shared" ref="CR35:CR37" ca="1" si="1186">ROUND(BS35*(1-AT35)*(1-$AK35)/8.76,1)</f>
        <v>41.1</v>
      </c>
      <c r="CS35" s="117">
        <f t="shared" ref="CS35:CS37" ca="1" si="1187">ROUND(BT35*(1-AU35)*(1-$AK35)/8.76,1)</f>
        <v>76.3</v>
      </c>
      <c r="CT35" s="117">
        <f t="shared" ref="CT35:CT37" ca="1" si="1188">ROUND(BU35*(1-AV35)*(1-$AK35)/8.76,1)</f>
        <v>94.6</v>
      </c>
      <c r="CU35" s="117">
        <f t="shared" ref="CU35:CU37" ca="1" si="1189">ROUND(BV35*(1-AW35)*(1-$AK35)/8.76,1)</f>
        <v>129.30000000000001</v>
      </c>
      <c r="CV35" s="117">
        <f t="shared" ref="CV35:CV37" ca="1" si="1190">ROUND(BW35*(1-AX35)*(1-$AK35)/8.76,1)</f>
        <v>140.1</v>
      </c>
      <c r="CW35" s="117">
        <f t="shared" ref="CW35:CW37" ca="1" si="1191">ROUND(BX35*(1-AY35)*(1-$AK35)/8.76,1)</f>
        <v>154.1</v>
      </c>
      <c r="CX35" s="117">
        <f t="shared" ref="CX35:CX37" ca="1" si="1192">ROUND(BY35*(1-AZ35)*(1-$AK35)/8.76,1)</f>
        <v>165.7</v>
      </c>
      <c r="CY35" s="117">
        <f t="shared" ref="CY35:CY37" ca="1" si="1193">ROUND(BZ35*(1-BA35)*(1-$AK35)/8.76,1)</f>
        <v>180.6</v>
      </c>
      <c r="CZ35" s="117">
        <f t="shared" ref="CZ35:CZ37" ca="1" si="1194">ROUND(CA35*(1-BB35)*(1-$AK35)/8.76,1)</f>
        <v>191.8</v>
      </c>
      <c r="DA35" s="117">
        <f t="shared" ref="DA35:DA37" ca="1" si="1195">ROUND(CB35*(1-BC35)*(1-$AK35)/8.76,1)</f>
        <v>203.5</v>
      </c>
      <c r="DB35" s="117">
        <f t="shared" ref="DB35:DB37" ca="1" si="1196">ROUND(CC35*(1-BD35)*(1-$AK35)/8.76,1)</f>
        <v>215.6</v>
      </c>
      <c r="DC35" s="117">
        <f t="shared" ref="DC35:DC37" ca="1" si="1197">ROUND(CD35*(1-BE35)*(1-$AK35)/8.76,1)</f>
        <v>228.3</v>
      </c>
      <c r="DD35" s="117">
        <f t="shared" ref="DD35:DD37" ca="1" si="1198">ROUND(CE35*(1-BF35)*(1-$AK35)/8.76,1)</f>
        <v>241.4</v>
      </c>
      <c r="DE35" s="117">
        <f ca="1">ROUND(CF35*(1-BG35)*(1-$AK35)/8.76,1)</f>
        <v>254.9</v>
      </c>
      <c r="DF35" s="117">
        <f t="shared" ref="DF35:DF37" ca="1" si="1199">ROUND(CG35*(1-BH35)*(1-$AK35)/8.76,1)</f>
        <v>268.8</v>
      </c>
      <c r="DG35" s="117">
        <f t="shared" ref="DG35:DG37" ca="1" si="1200">ROUND(CH35*(1-BI35)*(1-$AK35)/8.76,1)</f>
        <v>283.2</v>
      </c>
      <c r="DH35" s="117">
        <f ca="1">ROUND(CI35*(1-BJ35)*(1-$AK35)/8.76,1)</f>
        <v>298</v>
      </c>
      <c r="DI35" s="117">
        <f t="shared" ref="DI35:DI37" ca="1" si="1201">ROUND(CJ35*(1-BK35)*(1-$AK35)/8.76,1)</f>
        <v>309.7</v>
      </c>
      <c r="DJ35" s="117">
        <f ca="1">ROUND(CK35*(1-BL35)*(1-$AK35)/8.76,1)</f>
        <v>323.39999999999998</v>
      </c>
      <c r="DK35" s="117">
        <f ca="1">ROUND(CL35*(1-BM35)*(1-$AK35)/8.76,1)</f>
        <v>476.2</v>
      </c>
      <c r="DL35" s="117">
        <f t="shared" ref="DL35:DL37" ca="1" si="1202">ROUND(CM35*(1-BN35)*(1-$AK35)/8.76,1)</f>
        <v>730.8</v>
      </c>
      <c r="DM35" s="118" t="str">
        <f t="shared" ref="DM35:DM37" si="1203">DN35&amp;" "&amp;DO35&amp;" "&amp;DP35&amp;" "&amp;DQ35&amp;" "&amp;DR35&amp;" "&amp;DS35&amp;" "&amp;DT35&amp;" "&amp;DU35&amp;" "&amp;DV35&amp;" "&amp;DW35&amp;" "&amp;DX35&amp;" "&amp;DY35&amp;" "&amp;DZ35&amp;" "&amp;EA35&amp;" "&amp;EB35&amp;" "&amp;EC35&amp;" "&amp;ED35&amp;" "&amp;EE35&amp;" "&amp;EF35&amp;" "&amp;EG35&amp;" "&amp;EH35&amp;" "&amp;EI35&amp;" "&amp;EJ35&amp;" "&amp;EK35&amp;" "</f>
        <v xml:space="preserve">0.98 0.98 0.98 0.98 0.98 0.98 0.98 0.98 0.98 0.98 0.98 0.982 0.984 0.986 0.988 0.99 0.992 0.994 0.996 0.998 1 1 1 1 </v>
      </c>
      <c r="DN35" s="72">
        <f>1-AQ35</f>
        <v>0.98</v>
      </c>
      <c r="DO35" s="72">
        <f t="shared" ref="DO35:DO37" si="1204">1-AR35</f>
        <v>0.98</v>
      </c>
      <c r="DP35" s="72">
        <f t="shared" ref="DP35:DP37" si="1205">1-AS35</f>
        <v>0.98</v>
      </c>
      <c r="DQ35" s="72">
        <f t="shared" ref="DQ35:DQ37" si="1206">1-AT35</f>
        <v>0.98</v>
      </c>
      <c r="DR35" s="72">
        <f t="shared" ref="DR35:DR37" si="1207">1-AU35</f>
        <v>0.98</v>
      </c>
      <c r="DS35" s="72">
        <f t="shared" ref="DS35:DS37" si="1208">1-AV35</f>
        <v>0.98</v>
      </c>
      <c r="DT35" s="72">
        <f t="shared" ref="DT35:DT37" si="1209">1-AW35</f>
        <v>0.98</v>
      </c>
      <c r="DU35" s="72">
        <f t="shared" ref="DU35:DU37" si="1210">1-AX35</f>
        <v>0.98</v>
      </c>
      <c r="DV35" s="72">
        <f t="shared" ref="DV35:DV37" si="1211">1-AY35</f>
        <v>0.98</v>
      </c>
      <c r="DW35" s="72">
        <f t="shared" ref="DW35:DW37" si="1212">1-AZ35</f>
        <v>0.98</v>
      </c>
      <c r="DX35" s="72">
        <f t="shared" ref="DX35:DX37" si="1213">1-BA35</f>
        <v>0.98</v>
      </c>
      <c r="DY35" s="72">
        <f t="shared" ref="DY35:DY37" si="1214">1-BB35</f>
        <v>0.98199999999999998</v>
      </c>
      <c r="DZ35" s="72">
        <f t="shared" ref="DZ35:DZ37" si="1215">1-BC35</f>
        <v>0.98399999999999999</v>
      </c>
      <c r="EA35" s="72">
        <f t="shared" ref="EA35:EA37" si="1216">1-BD35</f>
        <v>0.98599999999999999</v>
      </c>
      <c r="EB35" s="72">
        <f t="shared" ref="EB35:EB37" si="1217">1-BE35</f>
        <v>0.98799999999999999</v>
      </c>
      <c r="EC35" s="72">
        <f t="shared" ref="EC35:EC37" si="1218">1-BF35</f>
        <v>0.99</v>
      </c>
      <c r="ED35" s="72">
        <f t="shared" ref="ED35:ED37" si="1219">1-BG35</f>
        <v>0.99199999999999999</v>
      </c>
      <c r="EE35" s="72">
        <f t="shared" ref="EE35:EE37" si="1220">1-BH35</f>
        <v>0.99399999999999999</v>
      </c>
      <c r="EF35" s="72">
        <f t="shared" ref="EF35:EF37" si="1221">1-BI35</f>
        <v>0.996</v>
      </c>
      <c r="EG35" s="72">
        <f t="shared" ref="EG35:EG37" si="1222">1-BJ35</f>
        <v>0.998</v>
      </c>
      <c r="EH35" s="72">
        <f t="shared" ref="EH35:EH37" si="1223">1-BK35</f>
        <v>1</v>
      </c>
      <c r="EI35" s="72">
        <f t="shared" ref="EI35:EI37" si="1224">1-BL35</f>
        <v>1</v>
      </c>
      <c r="EJ35" s="72">
        <f t="shared" ref="EJ35:EJ37" si="1225">1-BM35</f>
        <v>1</v>
      </c>
      <c r="EK35" s="72">
        <f t="shared" ref="EK35:EK37" si="1226">1-BN35</f>
        <v>1</v>
      </c>
    </row>
    <row r="36" spans="1:141" x14ac:dyDescent="0.25">
      <c r="A36" t="str">
        <f t="shared" si="20"/>
        <v>UrbanMAL</v>
      </c>
      <c r="B36" t="str">
        <f t="shared" si="1180"/>
        <v>Urban</v>
      </c>
      <c r="C36" t="str">
        <f>IFERROR(VLOOKUP(D36,'For model'!$B$4:$C$16,2,FALSE),C35)</f>
        <v>MAL</v>
      </c>
      <c r="D36" t="s">
        <v>536</v>
      </c>
      <c r="E36" s="72">
        <f>1-E35-E37</f>
        <v>0.88</v>
      </c>
      <c r="F36" s="72">
        <f>1-F35-F37</f>
        <v>0.56999999999999995</v>
      </c>
      <c r="G36" s="72">
        <f t="shared" ref="G36:H36" si="1227">1-G35-G37</f>
        <v>0.45</v>
      </c>
      <c r="H36" s="72">
        <f t="shared" si="1227"/>
        <v>0.35</v>
      </c>
      <c r="I36" s="72">
        <f t="shared" ref="I36" si="1228">1-I35-I37</f>
        <v>0.30000000000000004</v>
      </c>
      <c r="K36" s="72">
        <f t="shared" ref="K36:K37" si="1229">E36</f>
        <v>0.88</v>
      </c>
      <c r="L36" s="72">
        <f t="shared" ref="L36:O36" si="1230">($P36-$K36)/($P$4-$K$4)+K36</f>
        <v>0.81799999999999995</v>
      </c>
      <c r="M36" s="72">
        <f t="shared" si="1230"/>
        <v>0.75599999999999989</v>
      </c>
      <c r="N36" s="72">
        <f t="shared" si="1230"/>
        <v>0.69399999999999984</v>
      </c>
      <c r="O36" s="72">
        <f t="shared" si="1230"/>
        <v>0.63199999999999978</v>
      </c>
      <c r="P36" s="72">
        <f t="shared" ref="P36:P37" si="1231">F36</f>
        <v>0.56999999999999995</v>
      </c>
      <c r="Q36" s="72">
        <f t="shared" ref="Q36:T36" si="1232">($U36-$P36)/($U$4-$P$4)+P36</f>
        <v>0.54599999999999993</v>
      </c>
      <c r="R36" s="72">
        <f t="shared" si="1232"/>
        <v>0.52199999999999991</v>
      </c>
      <c r="S36" s="72">
        <f t="shared" si="1232"/>
        <v>0.49799999999999994</v>
      </c>
      <c r="T36" s="72">
        <f t="shared" si="1232"/>
        <v>0.47399999999999998</v>
      </c>
      <c r="U36" s="72">
        <f t="shared" ref="U36:U37" si="1233">G36</f>
        <v>0.45</v>
      </c>
      <c r="V36" s="72">
        <f t="shared" ref="V36:V37" si="1234">(AE36-U36)/(AE$4-U$4)+U36</f>
        <v>0.44</v>
      </c>
      <c r="W36" s="72">
        <f t="shared" ref="W36:W37" si="1235">(AE36-U36)/(AE$4-U$4)+V36</f>
        <v>0.43</v>
      </c>
      <c r="X36" s="72">
        <f t="shared" ref="X36:X37" si="1236">(AE36-U36)/(AE$4-U$4)+W36</f>
        <v>0.42</v>
      </c>
      <c r="Y36" s="72">
        <f t="shared" ref="Y36:Y37" si="1237">(AE36-U36)/(AE$4-U$4)+X36</f>
        <v>0.41</v>
      </c>
      <c r="Z36" s="72">
        <f t="shared" ref="Z36:Z37" si="1238">(AE36-U36)/(AE$4-U$4)+Y36</f>
        <v>0.39999999999999997</v>
      </c>
      <c r="AA36" s="72">
        <f t="shared" ref="AA36:AA37" si="1239">(AE36-U36)/(AE$4-U$4)+Z36</f>
        <v>0.38999999999999996</v>
      </c>
      <c r="AB36" s="72">
        <f t="shared" ref="AB36:AB37" si="1240">(AE36-U36)/(AE$4-U$4)+AA36</f>
        <v>0.37999999999999995</v>
      </c>
      <c r="AC36" s="72">
        <f t="shared" ref="AC36:AC37" si="1241">(AE36-U36)/(AE$4-U$4)+AB36</f>
        <v>0.36999999999999994</v>
      </c>
      <c r="AD36" s="72">
        <f t="shared" ref="AD36:AD37" si="1242">(AE36-U36)/(AE$4-U$4)+AC36</f>
        <v>0.35999999999999993</v>
      </c>
      <c r="AE36" s="72">
        <f t="shared" ref="AE36:AE37" si="1243">H36</f>
        <v>0.35</v>
      </c>
      <c r="AF36" s="72">
        <f>(AH36-AE36)/(AH$4-AE$4)+AE36</f>
        <v>0.34749999999999998</v>
      </c>
      <c r="AG36" s="72">
        <f t="shared" ref="AG36:AG37" si="1244">(AE36+AH36)/2</f>
        <v>0.32500000000000001</v>
      </c>
      <c r="AH36" s="72">
        <f>I36</f>
        <v>0.30000000000000004</v>
      </c>
      <c r="AJ36" s="72" t="s">
        <v>548</v>
      </c>
      <c r="AK36" s="72">
        <f>AK35</f>
        <v>0.05</v>
      </c>
      <c r="AL36" s="111">
        <v>0.19</v>
      </c>
      <c r="AM36" s="72">
        <v>0.1</v>
      </c>
      <c r="AN36" s="72">
        <v>0.08</v>
      </c>
      <c r="AO36" s="72">
        <f>AN36</f>
        <v>0.08</v>
      </c>
      <c r="AP36" s="118" t="str">
        <f>AQ36&amp;" "&amp;AR36&amp;" "&amp;AS36&amp;" "&amp;AT36&amp;" "&amp;AU36&amp;" "&amp;AV36&amp;" "&amp;AW36&amp;" "&amp;AX36&amp;" "&amp;AY36&amp;" "&amp;AZ36&amp;" "&amp;BA36&amp;" "&amp;BB36&amp;" "&amp;BC36&amp;" "&amp;BD36&amp;" "&amp;BE36&amp;" "&amp;BF36&amp;" "&amp;BG36&amp;" "&amp;BH36&amp;" "&amp;BI36&amp;" "&amp;BJ36&amp;" "&amp;BK36&amp;" "&amp;BL36&amp;" "&amp;BM36&amp;" "&amp;BN36&amp;" "</f>
        <v xml:space="preserve">0.19 0.181 0.172 0.163 0.154 0.145 0.136 0.127 0.118 0.109 0.1 0.098 0.096 0.094 0.092 0.09 0.088 0.086 0.084 0.082 0.08 0.08 0.08 0.08 </v>
      </c>
      <c r="AQ36" s="72">
        <f t="shared" ref="AQ36:AQ37" si="1245">AL36</f>
        <v>0.19</v>
      </c>
      <c r="AR36" s="72">
        <f t="shared" ref="AR36:AR37" si="1246">(BA36-AQ36)/(BA$4-AQ$4)+AQ36</f>
        <v>0.18099999999999999</v>
      </c>
      <c r="AS36" s="72">
        <f t="shared" ref="AS36:AS37" si="1247">(BA36-AQ36)/(BA$4-AQ$4)+AR36</f>
        <v>0.17199999999999999</v>
      </c>
      <c r="AT36" s="72">
        <f t="shared" ref="AT36:AT37" si="1248">(BA36-AQ36)/(BA$4-AQ$4)+AS36</f>
        <v>0.16299999999999998</v>
      </c>
      <c r="AU36" s="72">
        <f t="shared" ref="AU36:AU37" si="1249">(BA36-AQ36)/(BA$4-AQ$4)+AT36</f>
        <v>0.15399999999999997</v>
      </c>
      <c r="AV36" s="72">
        <f t="shared" ref="AV36:AV37" si="1250">(BA36-AQ36)/(BA$4-AQ$4)+AU36</f>
        <v>0.14499999999999996</v>
      </c>
      <c r="AW36" s="72">
        <f t="shared" ref="AW36:AW37" si="1251">(BA36-AQ36)/(BA$4-AQ$4)+AV36</f>
        <v>0.13599999999999995</v>
      </c>
      <c r="AX36" s="72">
        <f t="shared" ref="AX36:AX37" si="1252">(BA36-AQ36)/(BA$4-AQ$4)+AW36</f>
        <v>0.12699999999999995</v>
      </c>
      <c r="AY36" s="72">
        <f t="shared" ref="AY36:AY37" si="1253">(BA36-AQ36)/(BA$4-AQ$4)+AX36</f>
        <v>0.11799999999999995</v>
      </c>
      <c r="AZ36" s="72">
        <f t="shared" ref="AZ36:AZ37" si="1254">(BA36-AQ36)/(BA$4-AQ$4)+AY36</f>
        <v>0.10899999999999996</v>
      </c>
      <c r="BA36" s="72">
        <f t="shared" ref="BA36:BA37" si="1255">AM36</f>
        <v>0.1</v>
      </c>
      <c r="BB36" s="72">
        <f t="shared" ref="BB36:BB37" si="1256">(BK36-BA36)/(BK$4-BA$4)+BA36</f>
        <v>9.8000000000000004E-2</v>
      </c>
      <c r="BC36" s="72">
        <f t="shared" ref="BC36:BC37" si="1257">(BK36-BA36)/(BK$4-BA$4)+BB36</f>
        <v>9.6000000000000002E-2</v>
      </c>
      <c r="BD36" s="72">
        <f t="shared" ref="BD36:BD37" si="1258">(BK36-BA36)/(BK$4-BA$4)+BC36</f>
        <v>9.4E-2</v>
      </c>
      <c r="BE36" s="72">
        <f t="shared" ref="BE36:BE37" si="1259">(BK36-BA36)/(BK$4-BA$4)+BD36</f>
        <v>9.1999999999999998E-2</v>
      </c>
      <c r="BF36" s="72">
        <f t="shared" ref="BF36:BF37" si="1260">(BK36-BA36)/(BK$4-BA$4)+BE36</f>
        <v>0.09</v>
      </c>
      <c r="BG36" s="72">
        <f t="shared" ref="BG36:BG37" si="1261">(BK36-BA36)/(BK$4-BA$4)+BF36</f>
        <v>8.7999999999999995E-2</v>
      </c>
      <c r="BH36" s="72">
        <f t="shared" ref="BH36:BH37" si="1262">(BK36-BA36)/(BK$4-BA$4)+BG36</f>
        <v>8.5999999999999993E-2</v>
      </c>
      <c r="BI36" s="72">
        <f t="shared" ref="BI36:BI37" si="1263">(BK36-BA36)/(BK$4-BA$4)+BH36</f>
        <v>8.3999999999999991E-2</v>
      </c>
      <c r="BJ36" s="72">
        <f t="shared" ref="BJ36:BJ37" si="1264">(BK36-BA36)/(BK$4-BA$4)+BI36</f>
        <v>8.199999999999999E-2</v>
      </c>
      <c r="BK36" s="72">
        <f t="shared" ref="BK36:BK37" si="1265">AN36</f>
        <v>0.08</v>
      </c>
      <c r="BL36" s="72">
        <f>(BN36-BK36)/(BN$4-BK$4)+BK36</f>
        <v>0.08</v>
      </c>
      <c r="BM36" s="72">
        <f t="shared" ref="BM36:BM37" si="1266">(BK36+BN36)/2</f>
        <v>0.08</v>
      </c>
      <c r="BN36" s="72">
        <f>AO36</f>
        <v>0.08</v>
      </c>
      <c r="BP36" s="84">
        <f ca="1">K36/(K36+K37)*(K38-BP35)</f>
        <v>966.24</v>
      </c>
      <c r="BQ36" s="84">
        <f t="shared" ref="BQ36" ca="1" si="1267">L36/(L36+L37)*(L38-BQ35)</f>
        <v>929.24800000000005</v>
      </c>
      <c r="BR36" s="84">
        <f t="shared" ref="BR36" ca="1" si="1268">M36/(M36+M37)*(M38-BR35)</f>
        <v>931.39200000000005</v>
      </c>
      <c r="BS36" s="84">
        <f t="shared" ref="BS36" ca="1" si="1269">N36/(N36+N37)*(N38-BS35)</f>
        <v>959.10799999999983</v>
      </c>
      <c r="BT36" s="84">
        <f t="shared" ref="BT36" ca="1" si="1270">O36/(O36+O37)*(O38-BT35)</f>
        <v>1334.1519999999998</v>
      </c>
      <c r="BU36" s="84">
        <f t="shared" ref="BU36" ca="1" si="1271">P36/(P36+P37)*(P38-BU35)</f>
        <v>1268.82</v>
      </c>
      <c r="BV36" s="84">
        <f t="shared" ref="BV36" ca="1" si="1272">Q36/(Q36+Q37)*(Q38-BV35)</f>
        <v>1581.2159999999999</v>
      </c>
      <c r="BW36" s="84">
        <f t="shared" ref="BW36" ca="1" si="1273">R36/(R36+R37)*(R38-BW35)</f>
        <v>1564.4339999999997</v>
      </c>
      <c r="BX36" s="84">
        <f t="shared" ref="BX36" ca="1" si="1274">S36/(S36+S37)*(S38-BX35)</f>
        <v>1570.1939999999997</v>
      </c>
      <c r="BY36" s="84">
        <f t="shared" ref="BY36" ca="1" si="1275">T36/(T36+T37)*(T38-BY35)</f>
        <v>1539.5519999999997</v>
      </c>
      <c r="BZ36" s="84">
        <f t="shared" ref="BZ36" ca="1" si="1276">U36/(U36+U37)*(U38-BZ35)</f>
        <v>1529.1000000000001</v>
      </c>
      <c r="CA36" s="84">
        <f t="shared" ref="CA36" ca="1" si="1277">V36/(V36+V37)*(V38-CA35)</f>
        <v>1569.48</v>
      </c>
      <c r="CB36" s="84">
        <f t="shared" ref="CB36" ca="1" si="1278">W36/(W36+W37)*(W38-CB35)</f>
        <v>1608.1999999999998</v>
      </c>
      <c r="CC36" s="84">
        <f t="shared" ref="CC36" ca="1" si="1279">X36/(X36+X37)*(X38-CC35)</f>
        <v>1644.72</v>
      </c>
      <c r="CD36" s="84">
        <f t="shared" ref="CD36" ca="1" si="1280">Y36/(Y36+Y37)*(Y38-CD35)</f>
        <v>1679.77</v>
      </c>
      <c r="CE36" s="84">
        <f t="shared" ref="CE36" ca="1" si="1281">Z36/(Z36+Z37)*(Z38-CE35)</f>
        <v>1712.7999999999997</v>
      </c>
      <c r="CF36" s="84">
        <f t="shared" ref="CF36" ca="1" si="1282">AA36/(AA36+AA37)*(AA38-CF35)</f>
        <v>1743.295470605839</v>
      </c>
      <c r="CG36" s="84">
        <f t="shared" ref="CG36" ca="1" si="1283">AB36/(AB36+AB37)*(AB38-CG35)</f>
        <v>1771.2241795072432</v>
      </c>
      <c r="CH36" s="84">
        <f t="shared" ref="CH36" ca="1" si="1284">AC36/(AC36+AC37)*(AC38-CH35)</f>
        <v>1796.3811406819243</v>
      </c>
      <c r="CI36" s="84">
        <f t="shared" ref="CI36" ca="1" si="1285">AD36/(AD36+AD37)*(AD38-CI35)</f>
        <v>1818.5651048515917</v>
      </c>
      <c r="CJ36" s="84">
        <f t="shared" ref="CJ36" ca="1" si="1286">AE36/(AE36+AE37)*(AE38-CJ35)</f>
        <v>1817.4975910151729</v>
      </c>
      <c r="CK36" s="84">
        <f t="shared" ref="CK36" ca="1" si="1287">AF36/(AF36+AF37)*(AF38-CK35)</f>
        <v>1875.4799938312028</v>
      </c>
      <c r="CL36" s="84">
        <f t="shared" ref="CL36" ca="1" si="1288">AG36/(AG36+AG37)*(AG38-CL35)</f>
        <v>2482.0323274765387</v>
      </c>
      <c r="CM36" s="84">
        <f t="shared" ref="CM36" ca="1" si="1289">AH36/(AH36+AH37)*(AH38-CM35)</f>
        <v>3369.4855685405028</v>
      </c>
      <c r="CN36" s="118" t="str">
        <f t="shared" ca="1" si="1183"/>
        <v xml:space="preserve">84.9 82.5 83.6 87.1 122.4 117.6 148.2 148.1 150.2 148.8 149.2 153.5 157.7 161.6 165.4 169 172.4 175.6 178.4 181 181.3 187.1 247.6 336.2 </v>
      </c>
      <c r="CO36" s="117">
        <f t="shared" ref="CO36:CO37" ca="1" si="1290">ROUND(BP36*(1-AQ36)*(1-$AK36)/8.76,1)</f>
        <v>84.9</v>
      </c>
      <c r="CP36" s="117">
        <f t="shared" ca="1" si="1184"/>
        <v>82.5</v>
      </c>
      <c r="CQ36" s="117">
        <f t="shared" ca="1" si="1185"/>
        <v>83.6</v>
      </c>
      <c r="CR36" s="117">
        <f t="shared" ca="1" si="1186"/>
        <v>87.1</v>
      </c>
      <c r="CS36" s="117">
        <f t="shared" ca="1" si="1187"/>
        <v>122.4</v>
      </c>
      <c r="CT36" s="117">
        <f t="shared" ca="1" si="1188"/>
        <v>117.6</v>
      </c>
      <c r="CU36" s="117">
        <f t="shared" ca="1" si="1189"/>
        <v>148.19999999999999</v>
      </c>
      <c r="CV36" s="117">
        <f t="shared" ca="1" si="1190"/>
        <v>148.1</v>
      </c>
      <c r="CW36" s="117">
        <f t="shared" ca="1" si="1191"/>
        <v>150.19999999999999</v>
      </c>
      <c r="CX36" s="117">
        <f t="shared" ca="1" si="1192"/>
        <v>148.80000000000001</v>
      </c>
      <c r="CY36" s="117">
        <f t="shared" ca="1" si="1193"/>
        <v>149.19999999999999</v>
      </c>
      <c r="CZ36" s="117">
        <f t="shared" ca="1" si="1194"/>
        <v>153.5</v>
      </c>
      <c r="DA36" s="117">
        <f t="shared" ca="1" si="1195"/>
        <v>157.69999999999999</v>
      </c>
      <c r="DB36" s="117">
        <f t="shared" ca="1" si="1196"/>
        <v>161.6</v>
      </c>
      <c r="DC36" s="117">
        <f t="shared" ca="1" si="1197"/>
        <v>165.4</v>
      </c>
      <c r="DD36" s="117">
        <f t="shared" ca="1" si="1198"/>
        <v>169</v>
      </c>
      <c r="DE36" s="117">
        <f t="shared" ref="DE36:DE37" ca="1" si="1291">ROUND(CF36*(1-BG36)*(1-$AK36)/8.76,1)</f>
        <v>172.4</v>
      </c>
      <c r="DF36" s="117">
        <f t="shared" ca="1" si="1199"/>
        <v>175.6</v>
      </c>
      <c r="DG36" s="117">
        <f t="shared" ca="1" si="1200"/>
        <v>178.4</v>
      </c>
      <c r="DH36" s="117">
        <f t="shared" ref="DH36:DH37" ca="1" si="1292">ROUND(CI36*(1-BJ36)*(1-$AK36)/8.76,1)</f>
        <v>181</v>
      </c>
      <c r="DI36" s="117">
        <f t="shared" ca="1" si="1201"/>
        <v>181.3</v>
      </c>
      <c r="DJ36" s="117">
        <f t="shared" ref="DJ36:DJ37" ca="1" si="1293">ROUND(CK36*(1-BL36)*(1-$AK36)/8.76,1)</f>
        <v>187.1</v>
      </c>
      <c r="DK36" s="117">
        <f t="shared" ref="DK36:DK37" ca="1" si="1294">ROUND(CL36*(1-BM36)*(1-$AK36)/8.76,1)</f>
        <v>247.6</v>
      </c>
      <c r="DL36" s="117">
        <f t="shared" ca="1" si="1202"/>
        <v>336.2</v>
      </c>
      <c r="DM36" s="118" t="str">
        <f t="shared" si="1203"/>
        <v xml:space="preserve">0.81 0.819 0.828 0.837 0.846 0.855 0.864 0.873 0.882 0.891 0.9 0.902 0.904 0.906 0.908 0.91 0.912 0.914 0.916 0.918 0.92 0.92 0.92 0.92 </v>
      </c>
      <c r="DN36" s="72">
        <f t="shared" ref="DN36:DN37" si="1295">1-AQ36</f>
        <v>0.81</v>
      </c>
      <c r="DO36" s="72">
        <f t="shared" si="1204"/>
        <v>0.81899999999999995</v>
      </c>
      <c r="DP36" s="72">
        <f t="shared" si="1205"/>
        <v>0.82800000000000007</v>
      </c>
      <c r="DQ36" s="72">
        <f t="shared" si="1206"/>
        <v>0.83699999999999997</v>
      </c>
      <c r="DR36" s="72">
        <f t="shared" si="1207"/>
        <v>0.84600000000000009</v>
      </c>
      <c r="DS36" s="72">
        <f t="shared" si="1208"/>
        <v>0.85499999999999998</v>
      </c>
      <c r="DT36" s="72">
        <f t="shared" si="1209"/>
        <v>0.8640000000000001</v>
      </c>
      <c r="DU36" s="72">
        <f t="shared" si="1210"/>
        <v>0.873</v>
      </c>
      <c r="DV36" s="72">
        <f t="shared" si="1211"/>
        <v>0.88200000000000001</v>
      </c>
      <c r="DW36" s="72">
        <f t="shared" si="1212"/>
        <v>0.89100000000000001</v>
      </c>
      <c r="DX36" s="72">
        <f t="shared" si="1213"/>
        <v>0.9</v>
      </c>
      <c r="DY36" s="72">
        <f t="shared" si="1214"/>
        <v>0.90200000000000002</v>
      </c>
      <c r="DZ36" s="72">
        <f t="shared" si="1215"/>
        <v>0.90400000000000003</v>
      </c>
      <c r="EA36" s="72">
        <f t="shared" si="1216"/>
        <v>0.90600000000000003</v>
      </c>
      <c r="EB36" s="72">
        <f t="shared" si="1217"/>
        <v>0.90800000000000003</v>
      </c>
      <c r="EC36" s="72">
        <f t="shared" si="1218"/>
        <v>0.91</v>
      </c>
      <c r="ED36" s="72">
        <f t="shared" si="1219"/>
        <v>0.91200000000000003</v>
      </c>
      <c r="EE36" s="72">
        <f t="shared" si="1220"/>
        <v>0.91400000000000003</v>
      </c>
      <c r="EF36" s="72">
        <f t="shared" si="1221"/>
        <v>0.91600000000000004</v>
      </c>
      <c r="EG36" s="72">
        <f t="shared" si="1222"/>
        <v>0.91800000000000004</v>
      </c>
      <c r="EH36" s="72">
        <f t="shared" si="1223"/>
        <v>0.92</v>
      </c>
      <c r="EI36" s="72">
        <f t="shared" si="1224"/>
        <v>0.92</v>
      </c>
      <c r="EJ36" s="72">
        <f t="shared" si="1225"/>
        <v>0.92</v>
      </c>
      <c r="EK36" s="72">
        <f t="shared" si="1226"/>
        <v>0.92</v>
      </c>
    </row>
    <row r="37" spans="1:141" x14ac:dyDescent="0.25">
      <c r="A37" t="str">
        <f t="shared" si="20"/>
        <v>RuralMAL</v>
      </c>
      <c r="B37" t="str">
        <f t="shared" si="1180"/>
        <v>Rural</v>
      </c>
      <c r="C37" t="str">
        <f>IFERROR(VLOOKUP(D37,'For model'!$B$4:$C$16,2,FALSE),C36)</f>
        <v>MAL</v>
      </c>
      <c r="D37" t="s">
        <v>518</v>
      </c>
      <c r="E37" s="72">
        <v>0.02</v>
      </c>
      <c r="F37" s="72">
        <v>0.03</v>
      </c>
      <c r="G37" s="72">
        <v>0.05</v>
      </c>
      <c r="H37" s="72">
        <v>0.1</v>
      </c>
      <c r="I37" s="72">
        <f>H37</f>
        <v>0.1</v>
      </c>
      <c r="K37" s="72">
        <f t="shared" si="1229"/>
        <v>0.02</v>
      </c>
      <c r="L37" s="72">
        <f t="shared" ref="L37:O37" si="1296">($P37-$K37)/($P$4-$K$4)+K37</f>
        <v>2.1999999999999999E-2</v>
      </c>
      <c r="M37" s="72">
        <f t="shared" si="1296"/>
        <v>2.3999999999999997E-2</v>
      </c>
      <c r="N37" s="72">
        <f t="shared" si="1296"/>
        <v>2.5999999999999995E-2</v>
      </c>
      <c r="O37" s="72">
        <f t="shared" si="1296"/>
        <v>2.7999999999999994E-2</v>
      </c>
      <c r="P37" s="72">
        <f t="shared" si="1231"/>
        <v>0.03</v>
      </c>
      <c r="Q37" s="72">
        <f t="shared" ref="Q37:T37" si="1297">($U37-$P37)/($U$4-$P$4)+P37</f>
        <v>3.4000000000000002E-2</v>
      </c>
      <c r="R37" s="72">
        <f t="shared" si="1297"/>
        <v>3.8000000000000006E-2</v>
      </c>
      <c r="S37" s="72">
        <f t="shared" si="1297"/>
        <v>4.200000000000001E-2</v>
      </c>
      <c r="T37" s="72">
        <f t="shared" si="1297"/>
        <v>4.6000000000000013E-2</v>
      </c>
      <c r="U37" s="72">
        <f t="shared" si="1233"/>
        <v>0.05</v>
      </c>
      <c r="V37" s="72">
        <f t="shared" si="1234"/>
        <v>5.5E-2</v>
      </c>
      <c r="W37" s="72">
        <f t="shared" si="1235"/>
        <v>0.06</v>
      </c>
      <c r="X37" s="72">
        <f t="shared" si="1236"/>
        <v>6.5000000000000002E-2</v>
      </c>
      <c r="Y37" s="72">
        <f t="shared" si="1237"/>
        <v>7.0000000000000007E-2</v>
      </c>
      <c r="Z37" s="72">
        <f t="shared" si="1238"/>
        <v>7.5000000000000011E-2</v>
      </c>
      <c r="AA37" s="72">
        <f t="shared" si="1239"/>
        <v>8.0000000000000016E-2</v>
      </c>
      <c r="AB37" s="72">
        <f t="shared" si="1240"/>
        <v>8.500000000000002E-2</v>
      </c>
      <c r="AC37" s="72">
        <f t="shared" si="1241"/>
        <v>9.0000000000000024E-2</v>
      </c>
      <c r="AD37" s="72">
        <f t="shared" si="1242"/>
        <v>9.5000000000000029E-2</v>
      </c>
      <c r="AE37" s="72">
        <f t="shared" si="1243"/>
        <v>0.1</v>
      </c>
      <c r="AF37" s="72">
        <f>(AH37-AE37)/(AH$4-AE$4)+AE37</f>
        <v>0.1</v>
      </c>
      <c r="AG37" s="72">
        <f t="shared" si="1244"/>
        <v>0.1</v>
      </c>
      <c r="AH37" s="72">
        <f>I37</f>
        <v>0.1</v>
      </c>
      <c r="AJ37" s="116">
        <f>1-((1-AL37)*K37+(1-AL36)*K36+(1-AL35)*K35)*(1-AK35)</f>
        <v>0.21548999999999996</v>
      </c>
      <c r="AK37" s="72">
        <f>AK36</f>
        <v>0.05</v>
      </c>
      <c r="AL37" s="72">
        <v>0.25</v>
      </c>
      <c r="AM37" s="72">
        <v>0.2</v>
      </c>
      <c r="AN37" s="72">
        <v>0.2</v>
      </c>
      <c r="AO37" s="72">
        <f>AN37</f>
        <v>0.2</v>
      </c>
      <c r="AP37" s="118" t="str">
        <f>AQ37&amp;" "&amp;AR37&amp;" "&amp;AS37&amp;" "&amp;AT37&amp;" "&amp;AU37&amp;" "&amp;AV37&amp;" "&amp;AW37&amp;" "&amp;AX37&amp;" "&amp;AY37&amp;" "&amp;AZ37&amp;" "&amp;BA37&amp;" "&amp;BB37&amp;" "&amp;BC37&amp;" "&amp;BD37&amp;" "&amp;BE37&amp;" "&amp;BF37&amp;" "&amp;BG37&amp;" "&amp;BH37&amp;" "&amp;BI37&amp;" "&amp;BJ37&amp;" "&amp;BK37&amp;" "&amp;BL37&amp;" "&amp;BM37&amp;" "&amp;BN37&amp;" "</f>
        <v xml:space="preserve">0.25 0.245 0.24 0.235 0.23 0.225 0.22 0.215 0.21 0.205 0.2 0.2 0.2 0.2 0.2 0.2 0.2 0.2 0.2 0.2 0.2 0.2 0.2 0.2 </v>
      </c>
      <c r="AQ37" s="72">
        <f t="shared" si="1245"/>
        <v>0.25</v>
      </c>
      <c r="AR37" s="72">
        <f t="shared" si="1246"/>
        <v>0.245</v>
      </c>
      <c r="AS37" s="72">
        <f t="shared" si="1247"/>
        <v>0.24</v>
      </c>
      <c r="AT37" s="72">
        <f t="shared" si="1248"/>
        <v>0.23499999999999999</v>
      </c>
      <c r="AU37" s="72">
        <f t="shared" si="1249"/>
        <v>0.22999999999999998</v>
      </c>
      <c r="AV37" s="72">
        <f t="shared" si="1250"/>
        <v>0.22499999999999998</v>
      </c>
      <c r="AW37" s="72">
        <f t="shared" si="1251"/>
        <v>0.21999999999999997</v>
      </c>
      <c r="AX37" s="72">
        <f t="shared" si="1252"/>
        <v>0.21499999999999997</v>
      </c>
      <c r="AY37" s="72">
        <f t="shared" si="1253"/>
        <v>0.20999999999999996</v>
      </c>
      <c r="AZ37" s="72">
        <f t="shared" si="1254"/>
        <v>0.20499999999999996</v>
      </c>
      <c r="BA37" s="72">
        <f t="shared" si="1255"/>
        <v>0.2</v>
      </c>
      <c r="BB37" s="72">
        <f t="shared" si="1256"/>
        <v>0.2</v>
      </c>
      <c r="BC37" s="72">
        <f t="shared" si="1257"/>
        <v>0.2</v>
      </c>
      <c r="BD37" s="72">
        <f t="shared" si="1258"/>
        <v>0.2</v>
      </c>
      <c r="BE37" s="72">
        <f t="shared" si="1259"/>
        <v>0.2</v>
      </c>
      <c r="BF37" s="72">
        <f t="shared" si="1260"/>
        <v>0.2</v>
      </c>
      <c r="BG37" s="72">
        <f t="shared" si="1261"/>
        <v>0.2</v>
      </c>
      <c r="BH37" s="72">
        <f t="shared" si="1262"/>
        <v>0.2</v>
      </c>
      <c r="BI37" s="72">
        <f t="shared" si="1263"/>
        <v>0.2</v>
      </c>
      <c r="BJ37" s="72">
        <f t="shared" si="1264"/>
        <v>0.2</v>
      </c>
      <c r="BK37" s="72">
        <f t="shared" si="1265"/>
        <v>0.2</v>
      </c>
      <c r="BL37" s="72">
        <f>(BN37-BK37)/(BN$4-BK$4)+BK37</f>
        <v>0.2</v>
      </c>
      <c r="BM37" s="72">
        <f t="shared" si="1266"/>
        <v>0.2</v>
      </c>
      <c r="BN37" s="72">
        <f>AO37</f>
        <v>0.2</v>
      </c>
      <c r="BP37" s="84">
        <f ca="1">K37/(K36+K37)*(K38-BP35)</f>
        <v>21.96</v>
      </c>
      <c r="BQ37" s="84">
        <f t="shared" ref="BQ37" ca="1" si="1298">L37/(L36+L37)*(L38-BQ35)</f>
        <v>24.992000000000001</v>
      </c>
      <c r="BR37" s="84">
        <f t="shared" ref="BR37" ca="1" si="1299">M37/(M36+M37)*(M38-BR35)</f>
        <v>29.567999999999998</v>
      </c>
      <c r="BS37" s="84">
        <f t="shared" ref="BS37" ca="1" si="1300">N37/(N36+N37)*(N38-BS35)</f>
        <v>35.932000000000002</v>
      </c>
      <c r="BT37" s="84">
        <f t="shared" ref="BT37" ca="1" si="1301">O37/(O36+O37)*(O38-BT35)</f>
        <v>59.108000000000004</v>
      </c>
      <c r="BU37" s="84">
        <f t="shared" ref="BU37" ca="1" si="1302">P37/(P36+P37)*(P38-BU35)</f>
        <v>66.78</v>
      </c>
      <c r="BV37" s="84">
        <f t="shared" ref="BV37" ca="1" si="1303">Q37/(Q36+Q37)*(Q38-BV35)</f>
        <v>98.463999999999999</v>
      </c>
      <c r="BW37" s="84">
        <f t="shared" ref="BW37" ca="1" si="1304">R37/(R36+R37)*(R38-BW35)</f>
        <v>113.88600000000004</v>
      </c>
      <c r="BX37" s="84">
        <f t="shared" ref="BX37" ca="1" si="1305">S37/(S36+S37)*(S38-BX35)</f>
        <v>132.42600000000002</v>
      </c>
      <c r="BY37" s="84">
        <f t="shared" ref="BY37" ca="1" si="1306">T37/(T36+T37)*(T38-BY35)</f>
        <v>149.40800000000002</v>
      </c>
      <c r="BZ37" s="84">
        <f t="shared" ref="BZ37" ca="1" si="1307">U37/(U36+U37)*(U38-BZ35)</f>
        <v>169.9</v>
      </c>
      <c r="CA37" s="84">
        <f t="shared" ref="CA37" ca="1" si="1308">V37/(V36+V37)*(V38-CA35)</f>
        <v>196.185</v>
      </c>
      <c r="CB37" s="84">
        <f t="shared" ref="CB37" ca="1" si="1309">W37/(W36+W37)*(W38-CB35)</f>
        <v>224.39999999999998</v>
      </c>
      <c r="CC37" s="84">
        <f t="shared" ref="CC37" ca="1" si="1310">X37/(X36+X37)*(X38-CC35)</f>
        <v>254.54</v>
      </c>
      <c r="CD37" s="84">
        <f t="shared" ref="CD37" ca="1" si="1311">Y37/(Y36+Y37)*(Y38-CD35)</f>
        <v>286.79000000000002</v>
      </c>
      <c r="CE37" s="84">
        <f t="shared" ref="CE37" ca="1" si="1312">Z37/(Z36+Z37)*(Z38-CE35)</f>
        <v>321.15000000000003</v>
      </c>
      <c r="CF37" s="84">
        <f t="shared" ref="CF37" ca="1" si="1313">AA37/(AA36+AA37)*(AA38-CF35)</f>
        <v>357.59907089350554</v>
      </c>
      <c r="CG37" s="84">
        <f t="shared" ref="CG37" ca="1" si="1314">AB37/(AB36+AB37)*(AB38-CG35)</f>
        <v>396.1948822581993</v>
      </c>
      <c r="CH37" s="84">
        <f t="shared" ref="CH37" ca="1" si="1315">AC37/(AC36+AC37)*(AC38-CH35)</f>
        <v>436.95757476046828</v>
      </c>
      <c r="CI37" s="84">
        <f t="shared" ref="CI37" ca="1" si="1316">AD37/(AD36+AD37)*(AD38-CI35)</f>
        <v>479.89912489139249</v>
      </c>
      <c r="CJ37" s="84">
        <f t="shared" ref="CJ37" ca="1" si="1317">AE37/(AE36+AE37)*(AE38-CJ35)</f>
        <v>519.28502600433524</v>
      </c>
      <c r="CK37" s="84">
        <f t="shared" ref="CK37" ca="1" si="1318">AF37/(AF36+AF37)*(AF38-CK35)</f>
        <v>539.7064730449506</v>
      </c>
      <c r="CL37" s="84">
        <f t="shared" ref="CL37" ca="1" si="1319">AG37/(AG36+AG37)*(AG38-CL35)</f>
        <v>763.70225460816584</v>
      </c>
      <c r="CM37" s="84">
        <f t="shared" ref="CM37" ca="1" si="1320">AH37/(AH36+AH37)*(AH38-CM35)</f>
        <v>1123.1618561801674</v>
      </c>
      <c r="CN37" s="118" t="str">
        <f t="shared" ca="1" si="1183"/>
        <v xml:space="preserve">1.8 2 2.4 3 4.9 5.6 8.3 9.7 11.3 12.9 14.7 17 19.5 22.1 24.9 27.9 31 34.4 37.9 41.6 45.1 46.8 66.3 97.4 </v>
      </c>
      <c r="CO37" s="117">
        <f t="shared" ca="1" si="1290"/>
        <v>1.8</v>
      </c>
      <c r="CP37" s="117">
        <f t="shared" ca="1" si="1184"/>
        <v>2</v>
      </c>
      <c r="CQ37" s="117">
        <f t="shared" ca="1" si="1185"/>
        <v>2.4</v>
      </c>
      <c r="CR37" s="117">
        <f t="shared" ca="1" si="1186"/>
        <v>3</v>
      </c>
      <c r="CS37" s="117">
        <f t="shared" ca="1" si="1187"/>
        <v>4.9000000000000004</v>
      </c>
      <c r="CT37" s="117">
        <f t="shared" ca="1" si="1188"/>
        <v>5.6</v>
      </c>
      <c r="CU37" s="117">
        <f t="shared" ca="1" si="1189"/>
        <v>8.3000000000000007</v>
      </c>
      <c r="CV37" s="117">
        <f t="shared" ca="1" si="1190"/>
        <v>9.6999999999999993</v>
      </c>
      <c r="CW37" s="117">
        <f t="shared" ca="1" si="1191"/>
        <v>11.3</v>
      </c>
      <c r="CX37" s="117">
        <f t="shared" ca="1" si="1192"/>
        <v>12.9</v>
      </c>
      <c r="CY37" s="117">
        <f t="shared" ca="1" si="1193"/>
        <v>14.7</v>
      </c>
      <c r="CZ37" s="117">
        <f t="shared" ca="1" si="1194"/>
        <v>17</v>
      </c>
      <c r="DA37" s="117">
        <f t="shared" ca="1" si="1195"/>
        <v>19.5</v>
      </c>
      <c r="DB37" s="117">
        <f t="shared" ca="1" si="1196"/>
        <v>22.1</v>
      </c>
      <c r="DC37" s="117">
        <f t="shared" ca="1" si="1197"/>
        <v>24.9</v>
      </c>
      <c r="DD37" s="117">
        <f t="shared" ca="1" si="1198"/>
        <v>27.9</v>
      </c>
      <c r="DE37" s="117">
        <f t="shared" ca="1" si="1291"/>
        <v>31</v>
      </c>
      <c r="DF37" s="117">
        <f t="shared" ca="1" si="1199"/>
        <v>34.4</v>
      </c>
      <c r="DG37" s="117">
        <f t="shared" ca="1" si="1200"/>
        <v>37.9</v>
      </c>
      <c r="DH37" s="117">
        <f t="shared" ca="1" si="1292"/>
        <v>41.6</v>
      </c>
      <c r="DI37" s="117">
        <f t="shared" ca="1" si="1201"/>
        <v>45.1</v>
      </c>
      <c r="DJ37" s="117">
        <f t="shared" ca="1" si="1293"/>
        <v>46.8</v>
      </c>
      <c r="DK37" s="117">
        <f t="shared" ca="1" si="1294"/>
        <v>66.3</v>
      </c>
      <c r="DL37" s="117">
        <f t="shared" ca="1" si="1202"/>
        <v>97.4</v>
      </c>
      <c r="DM37" s="118" t="str">
        <f t="shared" si="1203"/>
        <v xml:space="preserve">0.75 0.755 0.76 0.765 0.77 0.775 0.78 0.785 0.79 0.795 0.8 0.8 0.8 0.8 0.8 0.8 0.8 0.8 0.8 0.8 0.8 0.8 0.8 0.8 </v>
      </c>
      <c r="DN37" s="72">
        <f t="shared" si="1295"/>
        <v>0.75</v>
      </c>
      <c r="DO37" s="72">
        <f t="shared" si="1204"/>
        <v>0.755</v>
      </c>
      <c r="DP37" s="72">
        <f t="shared" si="1205"/>
        <v>0.76</v>
      </c>
      <c r="DQ37" s="72">
        <f t="shared" si="1206"/>
        <v>0.76500000000000001</v>
      </c>
      <c r="DR37" s="72">
        <f t="shared" si="1207"/>
        <v>0.77</v>
      </c>
      <c r="DS37" s="72">
        <f t="shared" si="1208"/>
        <v>0.77500000000000002</v>
      </c>
      <c r="DT37" s="72">
        <f t="shared" si="1209"/>
        <v>0.78</v>
      </c>
      <c r="DU37" s="72">
        <f t="shared" si="1210"/>
        <v>0.78500000000000003</v>
      </c>
      <c r="DV37" s="72">
        <f t="shared" si="1211"/>
        <v>0.79</v>
      </c>
      <c r="DW37" s="72">
        <f t="shared" si="1212"/>
        <v>0.79500000000000004</v>
      </c>
      <c r="DX37" s="72">
        <f t="shared" si="1213"/>
        <v>0.8</v>
      </c>
      <c r="DY37" s="72">
        <f t="shared" si="1214"/>
        <v>0.8</v>
      </c>
      <c r="DZ37" s="72">
        <f t="shared" si="1215"/>
        <v>0.8</v>
      </c>
      <c r="EA37" s="72">
        <f t="shared" si="1216"/>
        <v>0.8</v>
      </c>
      <c r="EB37" s="72">
        <f t="shared" si="1217"/>
        <v>0.8</v>
      </c>
      <c r="EC37" s="72">
        <f t="shared" si="1218"/>
        <v>0.8</v>
      </c>
      <c r="ED37" s="72">
        <f t="shared" si="1219"/>
        <v>0.8</v>
      </c>
      <c r="EE37" s="72">
        <f t="shared" si="1220"/>
        <v>0.8</v>
      </c>
      <c r="EF37" s="72">
        <f t="shared" si="1221"/>
        <v>0.8</v>
      </c>
      <c r="EG37" s="72">
        <f t="shared" si="1222"/>
        <v>0.8</v>
      </c>
      <c r="EH37" s="72">
        <f t="shared" si="1223"/>
        <v>0.8</v>
      </c>
      <c r="EI37" s="72">
        <f t="shared" si="1224"/>
        <v>0.8</v>
      </c>
      <c r="EJ37" s="72">
        <f t="shared" si="1225"/>
        <v>0.8</v>
      </c>
      <c r="EK37" s="72">
        <f t="shared" si="1226"/>
        <v>0.8</v>
      </c>
    </row>
    <row r="38" spans="1:141" x14ac:dyDescent="0.25">
      <c r="A38" t="str">
        <f t="shared" si="20"/>
        <v>MAL</v>
      </c>
      <c r="C38" t="str">
        <f>IFERROR(VLOOKUP(D38,'For model'!$B$4:$C$16,2,FALSE),C37)</f>
        <v>MAL</v>
      </c>
      <c r="D38" t="s">
        <v>537</v>
      </c>
      <c r="K38" s="84">
        <f ca="1">OFFSET(SourceData!$BS$4,MATCH(K34,SourceData!$BS$5:$BS$28,0),MATCH($C38,SourceData!$BT$3:$CF$3,0))</f>
        <v>1098</v>
      </c>
      <c r="L38" s="84">
        <f ca="1">OFFSET(SourceData!$BS$4,MATCH(L34,SourceData!$BS$5:$BS$28,0),MATCH($C38,SourceData!$BT$3:$CF$3,0))</f>
        <v>1136</v>
      </c>
      <c r="M38" s="84">
        <f ca="1">OFFSET(SourceData!$BS$4,MATCH(M34,SourceData!$BS$5:$BS$28,0),MATCH($C38,SourceData!$BT$3:$CF$3,0))</f>
        <v>1232</v>
      </c>
      <c r="N38" s="84">
        <f ca="1">OFFSET(SourceData!$BS$4,MATCH(N34,SourceData!$BS$5:$BS$28,0),MATCH($C38,SourceData!$BT$3:$CF$3,0))</f>
        <v>1382</v>
      </c>
      <c r="O38" s="84">
        <f ca="1">OFFSET(SourceData!$BS$4,MATCH(O34,SourceData!$BS$5:$BS$28,0),MATCH($C38,SourceData!$BT$3:$CF$3,0))</f>
        <v>2111</v>
      </c>
      <c r="P38" s="84">
        <f ca="1">OFFSET(SourceData!$BS$4,MATCH(P34,SourceData!$BS$5:$BS$28,0),MATCH($C38,SourceData!$BT$3:$CF$3,0))</f>
        <v>2226</v>
      </c>
      <c r="Q38" s="84">
        <f ca="1">OFFSET(SourceData!$BS$4,MATCH(Q34,SourceData!$BS$5:$BS$28,0),MATCH($C38,SourceData!$BT$3:$CF$3,0))</f>
        <v>2896</v>
      </c>
      <c r="R38" s="84">
        <f ca="1">OFFSET(SourceData!$BS$4,MATCH(R34,SourceData!$BS$5:$BS$28,0),MATCH($C38,SourceData!$BT$3:$CF$3,0))</f>
        <v>2997</v>
      </c>
      <c r="S38" s="84">
        <f ca="1">OFFSET(SourceData!$BS$4,MATCH(S34,SourceData!$BS$5:$BS$28,0),MATCH($C38,SourceData!$BT$3:$CF$3,0))</f>
        <v>3153</v>
      </c>
      <c r="T38" s="84">
        <f ca="1">OFFSET(SourceData!$BS$4,MATCH(T34,SourceData!$BS$5:$BS$28,0),MATCH($C38,SourceData!$BT$3:$CF$3,0))</f>
        <v>3248</v>
      </c>
      <c r="U38" s="84">
        <f ca="1">OFFSET(SourceData!$BS$4,MATCH(U34,SourceData!$BS$5:$BS$28,0),MATCH($C38,SourceData!$BT$3:$CF$3,0))</f>
        <v>3398</v>
      </c>
      <c r="V38" s="84">
        <f ca="1">OFFSET(SourceData!$BS$4,MATCH(V34,SourceData!$BS$5:$BS$28,0),MATCH($C38,SourceData!$BT$3:$CF$3,0))</f>
        <v>3567</v>
      </c>
      <c r="W38" s="84">
        <f ca="1">OFFSET(SourceData!$BS$4,MATCH(W34,SourceData!$BS$5:$BS$28,0),MATCH($C38,SourceData!$BT$3:$CF$3,0))</f>
        <v>3740</v>
      </c>
      <c r="X38" s="84">
        <f ca="1">OFFSET(SourceData!$BS$4,MATCH(X34,SourceData!$BS$5:$BS$28,0),MATCH($C38,SourceData!$BT$3:$CF$3,0))</f>
        <v>3916</v>
      </c>
      <c r="Y38" s="84">
        <f ca="1">OFFSET(SourceData!$BS$4,MATCH(Y34,SourceData!$BS$5:$BS$28,0),MATCH($C38,SourceData!$BT$3:$CF$3,0))</f>
        <v>4097</v>
      </c>
      <c r="Z38" s="84">
        <f ca="1">OFFSET(SourceData!$BS$4,MATCH(Z34,SourceData!$BS$5:$BS$28,0),MATCH($C38,SourceData!$BT$3:$CF$3,0))</f>
        <v>4282</v>
      </c>
      <c r="AA38" s="84">
        <f ca="1">OFFSET(SourceData!$BS$4,MATCH(AA34,SourceData!$BS$5:$BS$28,0),MATCH($C38,SourceData!$BT$3:$CF$3,0))</f>
        <v>4469.9883861688186</v>
      </c>
      <c r="AB38" s="84">
        <f ca="1">OFFSET(SourceData!$BS$4,MATCH(AB34,SourceData!$BS$5:$BS$28,0),MATCH($C38,SourceData!$BT$3:$CF$3,0))</f>
        <v>4661.116261861167</v>
      </c>
      <c r="AC38" s="84">
        <f ca="1">OFFSET(SourceData!$BS$4,MATCH(AC34,SourceData!$BS$5:$BS$28,0),MATCH($C38,SourceData!$BT$3:$CF$3,0))</f>
        <v>4855.0841640052022</v>
      </c>
      <c r="AD38" s="84">
        <f ca="1">OFFSET(SourceData!$BS$4,MATCH(AD34,SourceData!$BS$5:$BS$28,0),MATCH($C38,SourceData!$BT$3:$CF$3,0))</f>
        <v>5051.5697356988667</v>
      </c>
      <c r="AE38" s="84">
        <f ca="1">OFFSET(SourceData!$BS$4,MATCH(AE34,SourceData!$BS$5:$BS$28,0),MATCH($C38,SourceData!$BT$3:$CF$3,0))</f>
        <v>5192.8502600433521</v>
      </c>
      <c r="AF38" s="84">
        <f ca="1">OFFSET(SourceData!$BS$4,MATCH(AF34,SourceData!$BS$5:$BS$28,0),MATCH($C38,SourceData!$BT$3:$CF$3,0))</f>
        <v>5397.0647304495051</v>
      </c>
      <c r="AG38" s="84">
        <f ca="1">OFFSET(SourceData!$BS$4,MATCH(AG34,SourceData!$BS$5:$BS$28,0),MATCH($C38,SourceData!$BT$3:$CF$3,0))</f>
        <v>7637.0225460816573</v>
      </c>
      <c r="AH38" s="84">
        <f ca="1">OFFSET(SourceData!$BS$4,MATCH(AH34,SourceData!$BS$5:$BS$28,0),MATCH($C38,SourceData!$BT$3:$CF$3,0))</f>
        <v>11231.618561801673</v>
      </c>
      <c r="BP38" s="84">
        <f ca="1">SUM(BP35:BP37)</f>
        <v>1098</v>
      </c>
      <c r="BQ38" s="84">
        <f t="shared" ref="BQ38" ca="1" si="1321">SUM(BQ35:BQ37)</f>
        <v>1136</v>
      </c>
      <c r="BR38" s="84">
        <f t="shared" ref="BR38" ca="1" si="1322">SUM(BR35:BR37)</f>
        <v>1232</v>
      </c>
      <c r="BS38" s="84">
        <f t="shared" ref="BS38" ca="1" si="1323">SUM(BS35:BS37)</f>
        <v>1381.9999999999998</v>
      </c>
      <c r="BT38" s="84">
        <f t="shared" ref="BT38" ca="1" si="1324">SUM(BT35:BT37)</f>
        <v>2111</v>
      </c>
      <c r="BU38" s="84">
        <f t="shared" ref="BU38" ca="1" si="1325">SUM(BU35:BU37)</f>
        <v>2226.0000000000005</v>
      </c>
      <c r="BV38" s="84">
        <f t="shared" ref="BV38" ca="1" si="1326">SUM(BV35:BV37)</f>
        <v>2896</v>
      </c>
      <c r="BW38" s="84">
        <f t="shared" ref="BW38" ca="1" si="1327">SUM(BW35:BW37)</f>
        <v>2996.9999999999995</v>
      </c>
      <c r="BX38" s="84">
        <f t="shared" ref="BX38" ca="1" si="1328">SUM(BX35:BX37)</f>
        <v>3153</v>
      </c>
      <c r="BY38" s="84">
        <f t="shared" ref="BY38" ca="1" si="1329">SUM(BY35:BY37)</f>
        <v>3247.9999999999995</v>
      </c>
      <c r="BZ38" s="84">
        <f t="shared" ref="BZ38" ca="1" si="1330">SUM(BZ35:BZ37)</f>
        <v>3398.0000000000005</v>
      </c>
      <c r="CA38" s="84">
        <f t="shared" ref="CA38" ca="1" si="1331">SUM(CA35:CA37)</f>
        <v>3567</v>
      </c>
      <c r="CB38" s="84">
        <f t="shared" ref="CB38" ca="1" si="1332">SUM(CB35:CB37)</f>
        <v>3740</v>
      </c>
      <c r="CC38" s="84">
        <f t="shared" ref="CC38" ca="1" si="1333">SUM(CC35:CC37)</f>
        <v>3916</v>
      </c>
      <c r="CD38" s="84">
        <f t="shared" ref="CD38" ca="1" si="1334">SUM(CD35:CD37)</f>
        <v>4097</v>
      </c>
      <c r="CE38" s="84">
        <f t="shared" ref="CE38" ca="1" si="1335">SUM(CE35:CE37)</f>
        <v>4282</v>
      </c>
      <c r="CF38" s="84">
        <f t="shared" ref="CF38" ca="1" si="1336">SUM(CF35:CF37)</f>
        <v>4469.9883861688195</v>
      </c>
      <c r="CG38" s="84">
        <f t="shared" ref="CG38" ca="1" si="1337">SUM(CG35:CG37)</f>
        <v>4661.1162618611661</v>
      </c>
      <c r="CH38" s="84">
        <f t="shared" ref="CH38" ca="1" si="1338">SUM(CH35:CH37)</f>
        <v>4855.0841640052022</v>
      </c>
      <c r="CI38" s="84">
        <f t="shared" ref="CI38" ca="1" si="1339">SUM(CI35:CI37)</f>
        <v>5051.5697356988667</v>
      </c>
      <c r="CJ38" s="84">
        <f t="shared" ref="CJ38" ca="1" si="1340">SUM(CJ35:CJ37)</f>
        <v>5192.8502600433521</v>
      </c>
      <c r="CK38" s="84">
        <f t="shared" ref="CK38" ca="1" si="1341">SUM(CK35:CK37)</f>
        <v>5397.0647304495051</v>
      </c>
      <c r="CL38" s="84">
        <f t="shared" ref="CL38" ca="1" si="1342">SUM(CL35:CL37)</f>
        <v>7637.0225460816573</v>
      </c>
      <c r="CM38" s="84">
        <f t="shared" ref="CM38" ca="1" si="1343">SUM(CM35:CM37)</f>
        <v>11231.618561801673</v>
      </c>
    </row>
    <row r="39" spans="1:141" x14ac:dyDescent="0.25">
      <c r="A39" t="str">
        <f t="shared" si="20"/>
        <v>CIV</v>
      </c>
      <c r="C39" t="str">
        <f>IFERROR(VLOOKUP(D39,'For model'!$B$4:$C$16,2,FALSE),C38)</f>
        <v>CIV</v>
      </c>
      <c r="D39" s="92" t="s">
        <v>67</v>
      </c>
      <c r="E39">
        <v>2010</v>
      </c>
      <c r="F39">
        <v>2015</v>
      </c>
      <c r="G39">
        <v>2020</v>
      </c>
      <c r="H39">
        <v>2030</v>
      </c>
      <c r="I39">
        <f>I34</f>
        <v>2050</v>
      </c>
      <c r="K39">
        <v>2010</v>
      </c>
      <c r="L39">
        <f>K39+1</f>
        <v>2011</v>
      </c>
      <c r="M39">
        <f t="shared" ref="M39:U39" si="1344">L39+1</f>
        <v>2012</v>
      </c>
      <c r="N39">
        <f t="shared" si="1344"/>
        <v>2013</v>
      </c>
      <c r="O39">
        <f t="shared" si="1344"/>
        <v>2014</v>
      </c>
      <c r="P39">
        <f t="shared" si="1344"/>
        <v>2015</v>
      </c>
      <c r="Q39">
        <f t="shared" si="1344"/>
        <v>2016</v>
      </c>
      <c r="R39">
        <f t="shared" si="1344"/>
        <v>2017</v>
      </c>
      <c r="S39">
        <f t="shared" si="1344"/>
        <v>2018</v>
      </c>
      <c r="T39">
        <f t="shared" si="1344"/>
        <v>2019</v>
      </c>
      <c r="U39">
        <f t="shared" si="1344"/>
        <v>2020</v>
      </c>
      <c r="V39">
        <f t="shared" ref="V39:AF39" si="1345">U39+1</f>
        <v>2021</v>
      </c>
      <c r="W39">
        <f t="shared" si="1345"/>
        <v>2022</v>
      </c>
      <c r="X39">
        <f t="shared" si="1345"/>
        <v>2023</v>
      </c>
      <c r="Y39">
        <f t="shared" si="1345"/>
        <v>2024</v>
      </c>
      <c r="Z39">
        <f t="shared" si="1345"/>
        <v>2025</v>
      </c>
      <c r="AA39">
        <f t="shared" si="1345"/>
        <v>2026</v>
      </c>
      <c r="AB39">
        <f t="shared" si="1345"/>
        <v>2027</v>
      </c>
      <c r="AC39">
        <f t="shared" si="1345"/>
        <v>2028</v>
      </c>
      <c r="AD39">
        <f t="shared" si="1345"/>
        <v>2029</v>
      </c>
      <c r="AE39">
        <f t="shared" si="1345"/>
        <v>2030</v>
      </c>
      <c r="AF39">
        <f t="shared" si="1345"/>
        <v>2031</v>
      </c>
      <c r="AG39">
        <v>2040</v>
      </c>
      <c r="AH39">
        <v>2050</v>
      </c>
      <c r="AL39">
        <f>E39</f>
        <v>2010</v>
      </c>
      <c r="AM39">
        <f>G39</f>
        <v>2020</v>
      </c>
      <c r="AN39">
        <f>H39</f>
        <v>2030</v>
      </c>
      <c r="AO39">
        <f>I39</f>
        <v>2050</v>
      </c>
      <c r="AQ39">
        <v>2010</v>
      </c>
      <c r="AR39">
        <f>AQ39+1</f>
        <v>2011</v>
      </c>
      <c r="AS39">
        <f t="shared" ref="AS39:BL39" si="1346">AR39+1</f>
        <v>2012</v>
      </c>
      <c r="AT39">
        <f t="shared" si="1346"/>
        <v>2013</v>
      </c>
      <c r="AU39">
        <f t="shared" si="1346"/>
        <v>2014</v>
      </c>
      <c r="AV39">
        <f t="shared" si="1346"/>
        <v>2015</v>
      </c>
      <c r="AW39">
        <f t="shared" si="1346"/>
        <v>2016</v>
      </c>
      <c r="AX39">
        <f t="shared" si="1346"/>
        <v>2017</v>
      </c>
      <c r="AY39">
        <f t="shared" si="1346"/>
        <v>2018</v>
      </c>
      <c r="AZ39">
        <f t="shared" si="1346"/>
        <v>2019</v>
      </c>
      <c r="BA39">
        <f t="shared" si="1346"/>
        <v>2020</v>
      </c>
      <c r="BB39">
        <f t="shared" si="1346"/>
        <v>2021</v>
      </c>
      <c r="BC39">
        <f t="shared" si="1346"/>
        <v>2022</v>
      </c>
      <c r="BD39">
        <f t="shared" si="1346"/>
        <v>2023</v>
      </c>
      <c r="BE39">
        <f t="shared" si="1346"/>
        <v>2024</v>
      </c>
      <c r="BF39">
        <f t="shared" si="1346"/>
        <v>2025</v>
      </c>
      <c r="BG39">
        <f t="shared" si="1346"/>
        <v>2026</v>
      </c>
      <c r="BH39">
        <f t="shared" si="1346"/>
        <v>2027</v>
      </c>
      <c r="BI39">
        <f t="shared" si="1346"/>
        <v>2028</v>
      </c>
      <c r="BJ39">
        <f t="shared" si="1346"/>
        <v>2029</v>
      </c>
      <c r="BK39">
        <f t="shared" si="1346"/>
        <v>2030</v>
      </c>
      <c r="BL39">
        <f t="shared" si="1346"/>
        <v>2031</v>
      </c>
      <c r="BM39">
        <v>2040</v>
      </c>
      <c r="BN39">
        <v>2050</v>
      </c>
      <c r="BP39">
        <f>AQ39</f>
        <v>2010</v>
      </c>
      <c r="BQ39">
        <f t="shared" ref="BQ39" si="1347">AR39</f>
        <v>2011</v>
      </c>
      <c r="BR39">
        <f t="shared" ref="BR39" si="1348">AS39</f>
        <v>2012</v>
      </c>
      <c r="BS39">
        <f t="shared" ref="BS39" si="1349">AT39</f>
        <v>2013</v>
      </c>
      <c r="BT39">
        <f t="shared" ref="BT39" si="1350">AU39</f>
        <v>2014</v>
      </c>
      <c r="BU39">
        <f t="shared" ref="BU39" si="1351">AV39</f>
        <v>2015</v>
      </c>
      <c r="BV39">
        <f t="shared" ref="BV39" si="1352">AW39</f>
        <v>2016</v>
      </c>
      <c r="BW39">
        <f t="shared" ref="BW39" si="1353">AX39</f>
        <v>2017</v>
      </c>
      <c r="BX39">
        <f t="shared" ref="BX39" si="1354">AY39</f>
        <v>2018</v>
      </c>
      <c r="BY39">
        <f t="shared" ref="BY39" si="1355">AZ39</f>
        <v>2019</v>
      </c>
      <c r="BZ39">
        <f t="shared" ref="BZ39" si="1356">BA39</f>
        <v>2020</v>
      </c>
      <c r="CA39">
        <f t="shared" ref="CA39" si="1357">BB39</f>
        <v>2021</v>
      </c>
      <c r="CB39">
        <f t="shared" ref="CB39" si="1358">BC39</f>
        <v>2022</v>
      </c>
      <c r="CC39">
        <f t="shared" ref="CC39" si="1359">BD39</f>
        <v>2023</v>
      </c>
      <c r="CD39">
        <f t="shared" ref="CD39" si="1360">BE39</f>
        <v>2024</v>
      </c>
      <c r="CE39">
        <f t="shared" ref="CE39" si="1361">BF39</f>
        <v>2025</v>
      </c>
      <c r="CF39">
        <f t="shared" ref="CF39" si="1362">BG39</f>
        <v>2026</v>
      </c>
      <c r="CG39">
        <f t="shared" ref="CG39" si="1363">BH39</f>
        <v>2027</v>
      </c>
      <c r="CH39">
        <f t="shared" ref="CH39" si="1364">BI39</f>
        <v>2028</v>
      </c>
      <c r="CI39">
        <f t="shared" ref="CI39" si="1365">BJ39</f>
        <v>2029</v>
      </c>
      <c r="CJ39">
        <f t="shared" ref="CJ39" si="1366">BK39</f>
        <v>2030</v>
      </c>
      <c r="CK39">
        <f t="shared" ref="CK39" si="1367">BL39</f>
        <v>2031</v>
      </c>
      <c r="CL39">
        <f t="shared" ref="CL39" si="1368">BM39</f>
        <v>2040</v>
      </c>
      <c r="CM39">
        <f t="shared" ref="CM39" si="1369">BN39</f>
        <v>2050</v>
      </c>
      <c r="CO39">
        <f>BP39</f>
        <v>2010</v>
      </c>
      <c r="CP39">
        <f t="shared" ref="CP39" si="1370">BQ39</f>
        <v>2011</v>
      </c>
      <c r="CQ39">
        <f t="shared" ref="CQ39" si="1371">BR39</f>
        <v>2012</v>
      </c>
      <c r="CR39">
        <f t="shared" ref="CR39" si="1372">BS39</f>
        <v>2013</v>
      </c>
      <c r="CS39">
        <f t="shared" ref="CS39" si="1373">BT39</f>
        <v>2014</v>
      </c>
      <c r="CT39">
        <f t="shared" ref="CT39" si="1374">BU39</f>
        <v>2015</v>
      </c>
      <c r="CU39">
        <f t="shared" ref="CU39" si="1375">BV39</f>
        <v>2016</v>
      </c>
      <c r="CV39">
        <f t="shared" ref="CV39" si="1376">BW39</f>
        <v>2017</v>
      </c>
      <c r="CW39">
        <f t="shared" ref="CW39" si="1377">BX39</f>
        <v>2018</v>
      </c>
      <c r="CX39">
        <f t="shared" ref="CX39" si="1378">BY39</f>
        <v>2019</v>
      </c>
      <c r="CY39">
        <f t="shared" ref="CY39" si="1379">BZ39</f>
        <v>2020</v>
      </c>
      <c r="CZ39">
        <f t="shared" ref="CZ39" si="1380">CA39</f>
        <v>2021</v>
      </c>
      <c r="DA39">
        <f t="shared" ref="DA39" si="1381">CB39</f>
        <v>2022</v>
      </c>
      <c r="DB39">
        <f t="shared" ref="DB39" si="1382">CC39</f>
        <v>2023</v>
      </c>
      <c r="DC39">
        <f t="shared" ref="DC39" si="1383">CD39</f>
        <v>2024</v>
      </c>
      <c r="DD39">
        <f t="shared" ref="DD39" si="1384">CE39</f>
        <v>2025</v>
      </c>
      <c r="DE39">
        <f>CF39</f>
        <v>2026</v>
      </c>
      <c r="DF39">
        <f t="shared" ref="DF39" si="1385">CG39</f>
        <v>2027</v>
      </c>
      <c r="DG39">
        <f t="shared" ref="DG39" si="1386">CH39</f>
        <v>2028</v>
      </c>
      <c r="DH39">
        <f>CI39</f>
        <v>2029</v>
      </c>
      <c r="DI39">
        <f t="shared" ref="DI39" si="1387">CJ39</f>
        <v>2030</v>
      </c>
      <c r="DJ39">
        <f>CK39</f>
        <v>2031</v>
      </c>
      <c r="DK39">
        <f>CL39</f>
        <v>2040</v>
      </c>
      <c r="DL39">
        <f t="shared" ref="DL39" si="1388">CM39</f>
        <v>2050</v>
      </c>
    </row>
    <row r="40" spans="1:141" x14ac:dyDescent="0.25">
      <c r="A40" t="str">
        <f t="shared" si="20"/>
        <v>Heavy IndustryCIV</v>
      </c>
      <c r="B40" t="str">
        <f t="shared" ref="B40:B42" si="1389">B35</f>
        <v>Heavy Industry</v>
      </c>
      <c r="C40" t="str">
        <f>IFERROR(VLOOKUP(D40,'For model'!$B$4:$C$16,2,FALSE),C39)</f>
        <v>CIV</v>
      </c>
      <c r="D40" t="s">
        <v>535</v>
      </c>
      <c r="E40" s="72">
        <v>0.1</v>
      </c>
      <c r="F40" s="72">
        <v>0.2</v>
      </c>
      <c r="G40" s="72">
        <v>0.3</v>
      </c>
      <c r="H40" s="72">
        <v>0.35</v>
      </c>
      <c r="I40" s="72">
        <v>0.4</v>
      </c>
      <c r="K40" s="72">
        <f>E40</f>
        <v>0.1</v>
      </c>
      <c r="L40" s="72">
        <f>($P40-$K40)/($P$4-$K$4)+K40</f>
        <v>0.12000000000000001</v>
      </c>
      <c r="M40" s="72">
        <f t="shared" ref="M40:O40" si="1390">($P40-$K40)/($P$4-$K$4)+L40</f>
        <v>0.14000000000000001</v>
      </c>
      <c r="N40" s="72">
        <f t="shared" si="1390"/>
        <v>0.16</v>
      </c>
      <c r="O40" s="72">
        <f t="shared" si="1390"/>
        <v>0.18</v>
      </c>
      <c r="P40" s="72">
        <f>F40</f>
        <v>0.2</v>
      </c>
      <c r="Q40" s="72">
        <f>($U40-$P40)/($U$4-$P$4)+P40</f>
        <v>0.22</v>
      </c>
      <c r="R40" s="72">
        <f t="shared" ref="R40:T40" si="1391">($U40-$P40)/($U$4-$P$4)+Q40</f>
        <v>0.24</v>
      </c>
      <c r="S40" s="72">
        <f t="shared" si="1391"/>
        <v>0.26</v>
      </c>
      <c r="T40" s="72">
        <f t="shared" si="1391"/>
        <v>0.28000000000000003</v>
      </c>
      <c r="U40" s="72">
        <f>G40</f>
        <v>0.3</v>
      </c>
      <c r="V40" s="72">
        <f>(AE40-U40)/(AE$4-U$4)+U40</f>
        <v>0.30499999999999999</v>
      </c>
      <c r="W40" s="72">
        <f>(AE40-U40)/(AE$4-U$4)+V40</f>
        <v>0.31</v>
      </c>
      <c r="X40" s="72">
        <f>(AE40-U40)/(AE$4-U$4)+W40</f>
        <v>0.315</v>
      </c>
      <c r="Y40" s="72">
        <f>(AE40-U40)/(AE$4-U$4)+X40</f>
        <v>0.32</v>
      </c>
      <c r="Z40" s="72">
        <f>(AE40-U40)/(AE$4-U$4)+Y40</f>
        <v>0.32500000000000001</v>
      </c>
      <c r="AA40" s="72">
        <f>(AE40-U40)/(AE$4-U$4)+Z40</f>
        <v>0.33</v>
      </c>
      <c r="AB40" s="72">
        <f>(AE40-U40)/(AE$4-U$4)+AA40</f>
        <v>0.33500000000000002</v>
      </c>
      <c r="AC40" s="72">
        <f>(AE40-U40)/(AE$4-U$4)+AB40</f>
        <v>0.34</v>
      </c>
      <c r="AD40" s="72">
        <f>(AE40-U40)/(AE$4-U$4)+AC40</f>
        <v>0.34500000000000003</v>
      </c>
      <c r="AE40" s="72">
        <f>H40</f>
        <v>0.35</v>
      </c>
      <c r="AF40" s="72">
        <f>(AH40-AE40)/(AH$4-AE$4)+AE40</f>
        <v>0.35249999999999998</v>
      </c>
      <c r="AG40" s="72">
        <f>(AE40+AH40)/2</f>
        <v>0.375</v>
      </c>
      <c r="AH40" s="72">
        <f>I40</f>
        <v>0.4</v>
      </c>
      <c r="AJ40" s="115">
        <f ca="1">SUMIF(SourceData!$Y$3:$AK$3,$C39,SourceData!$Y$1:$AK$1)</f>
        <v>0.22099999999999997</v>
      </c>
      <c r="AK40" s="72">
        <v>0.05</v>
      </c>
      <c r="AL40" s="94">
        <v>0.02</v>
      </c>
      <c r="AM40" s="72">
        <f>AL40</f>
        <v>0.02</v>
      </c>
      <c r="AN40" s="72">
        <v>0</v>
      </c>
      <c r="AO40" s="72">
        <v>0</v>
      </c>
      <c r="AP40" s="118" t="str">
        <f>AQ40&amp;" "&amp;AR40&amp;" "&amp;AS40&amp;" "&amp;AT40&amp;" "&amp;AU40&amp;" "&amp;AV40&amp;" "&amp;AW40&amp;" "&amp;AX40&amp;" "&amp;AY40&amp;" "&amp;AZ40&amp;" "&amp;BA40&amp;" "&amp;BB40&amp;" "&amp;BC40&amp;" "&amp;BD40&amp;" "&amp;BE40&amp;" "&amp;BF40&amp;" "&amp;BG40&amp;" "&amp;BH40&amp;" "&amp;BI40&amp;" "&amp;BJ40&amp;" "&amp;BK40&amp;" "&amp;BL40&amp;" "&amp;BM40&amp;" "&amp;BN40&amp;" "</f>
        <v xml:space="preserve">0.02 0.02 0.02 0.02 0.02 0.02 0.02 0.02 0.02 0.02 0.02 0.018 0.016 0.014 0.012 0.01 0.008 0.006 0.004 0.002 0 0 0 0 </v>
      </c>
      <c r="AQ40" s="72">
        <f>AL40</f>
        <v>0.02</v>
      </c>
      <c r="AR40" s="72">
        <f>(BA40-AQ40)/(BA$4-AQ$4)+AQ40</f>
        <v>0.02</v>
      </c>
      <c r="AS40" s="72">
        <f>(BA40-AQ40)/(BA$4-AQ$4)+AR40</f>
        <v>0.02</v>
      </c>
      <c r="AT40" s="72">
        <f>(BA40-AQ40)/(BA$4-AQ$4)+AS40</f>
        <v>0.02</v>
      </c>
      <c r="AU40" s="72">
        <f>(BA40-AQ40)/(BA$4-AQ$4)+AT40</f>
        <v>0.02</v>
      </c>
      <c r="AV40" s="72">
        <f>(BA40-AQ40)/(BA$4-AQ$4)+AU40</f>
        <v>0.02</v>
      </c>
      <c r="AW40" s="72">
        <f>(BA40-AQ40)/(BA$4-AQ$4)+AV40</f>
        <v>0.02</v>
      </c>
      <c r="AX40" s="72">
        <f>(BA40-AQ40)/(BA$4-AQ$4)+AW40</f>
        <v>0.02</v>
      </c>
      <c r="AY40" s="72">
        <f>(BA40-AQ40)/(BA$4-AQ$4)+AX40</f>
        <v>0.02</v>
      </c>
      <c r="AZ40" s="72">
        <f>(BA40-AQ40)/(BA$4-AQ$4)+AY40</f>
        <v>0.02</v>
      </c>
      <c r="BA40" s="72">
        <f>AM40</f>
        <v>0.02</v>
      </c>
      <c r="BB40" s="72">
        <f>(BK40-BA40)/(BK$4-BA$4)+BA40</f>
        <v>1.8000000000000002E-2</v>
      </c>
      <c r="BC40" s="72">
        <f>(BK40-BA40)/(BK$4-BA$4)+BB40</f>
        <v>1.6E-2</v>
      </c>
      <c r="BD40" s="72">
        <f>(BK40-BA40)/(BK$4-BA$4)+BC40</f>
        <v>1.4E-2</v>
      </c>
      <c r="BE40" s="72">
        <f>(BK40-BA40)/(BK$4-BA$4)+BD40</f>
        <v>1.2E-2</v>
      </c>
      <c r="BF40" s="72">
        <f>(BK40-BA40)/(BK$4-BA$4)+BE40</f>
        <v>0.01</v>
      </c>
      <c r="BG40" s="72">
        <f>(BK40-BA40)/(BK$4-BA$4)+BF40</f>
        <v>8.0000000000000002E-3</v>
      </c>
      <c r="BH40" s="72">
        <f>(BK40-BA40)/(BK$4-BA$4)+BG40</f>
        <v>6.0000000000000001E-3</v>
      </c>
      <c r="BI40" s="72">
        <f>(BK40-BA40)/(BK$4-BA$4)+BH40</f>
        <v>4.0000000000000001E-3</v>
      </c>
      <c r="BJ40" s="72">
        <f>(BK40-BA40)/(BK$4-BA$4)+BI40</f>
        <v>2E-3</v>
      </c>
      <c r="BK40" s="72">
        <f>AN40</f>
        <v>0</v>
      </c>
      <c r="BL40" s="72">
        <f>(BN40-BK40)/(BN$4-BK$4)+BK40</f>
        <v>0</v>
      </c>
      <c r="BM40" s="72">
        <f>(BK40+BN40)/2</f>
        <v>0</v>
      </c>
      <c r="BN40" s="72">
        <f>AO40</f>
        <v>0</v>
      </c>
      <c r="BO40">
        <f>SUMIF(SourceData!$BD$3:$BP$3,$C39,SourceData!$BD$1:$BP$1)</f>
        <v>0</v>
      </c>
      <c r="BP40" s="84">
        <f ca="1">IF($BO40,OFFSET(SourceData!$BC$4,MATCH(BP39,SourceData!$BC$5:$BC$28,0),MATCH($C43,SourceData!$BD$3:$BP$3,0)),K40*K43)</f>
        <v>581.35</v>
      </c>
      <c r="BQ40" s="84">
        <f ca="1">IF($BO40,OFFSET(SourceData!$BC$4,MATCH(BQ39,SourceData!$BC$5:$BC$28,0),MATCH($C43,SourceData!$BD$3:$BP$3,0)),L40*L43)</f>
        <v>720.6</v>
      </c>
      <c r="BR40" s="84">
        <f ca="1">IF($BO40,OFFSET(SourceData!$BC$4,MATCH(BR39,SourceData!$BC$5:$BC$28,0),MATCH($C43,SourceData!$BD$3:$BP$3,0)),M40*M43)</f>
        <v>894.60000000000014</v>
      </c>
      <c r="BS40" s="84">
        <f ca="1">IF($BO40,OFFSET(SourceData!$BC$4,MATCH(BS39,SourceData!$BC$5:$BC$28,0),MATCH($C43,SourceData!$BD$3:$BP$3,0)),N40*N43)</f>
        <v>1087.8399999999999</v>
      </c>
      <c r="BT40" s="84">
        <f ca="1">IF($BO40,OFFSET(SourceData!$BC$4,MATCH(BT39,SourceData!$BC$5:$BC$28,0),MATCH($C43,SourceData!$BD$3:$BP$3,0)),O40*O43)</f>
        <v>1304.0999999999999</v>
      </c>
      <c r="BU40" s="84">
        <f ca="1">IF($BO40,OFFSET(SourceData!$BC$4,MATCH(BU39,SourceData!$BC$5:$BC$28,0),MATCH($C43,SourceData!$BD$3:$BP$3,0)),P40*P43)</f>
        <v>1546.2</v>
      </c>
      <c r="BV40" s="84">
        <f ca="1">IF($BO40,OFFSET(SourceData!$BC$4,MATCH(BV39,SourceData!$BC$5:$BC$28,0),MATCH($C43,SourceData!$BD$3:$BP$3,0)),Q40*Q43)</f>
        <v>1803.34</v>
      </c>
      <c r="BW40" s="84">
        <f ca="1">IF($BO40,OFFSET(SourceData!$BC$4,MATCH(BW39,SourceData!$BC$5:$BC$28,0),MATCH($C43,SourceData!$BD$3:$BP$3,0)),R40*R43)</f>
        <v>2083.1999999999998</v>
      </c>
      <c r="BX40" s="84">
        <f ca="1">IF($BO40,OFFSET(SourceData!$BC$4,MATCH(BX39,SourceData!$BC$5:$BC$28,0),MATCH($C43,SourceData!$BD$3:$BP$3,0)),S40*S43)</f>
        <v>2387.3200000000002</v>
      </c>
      <c r="BY40" s="84">
        <f ca="1">IF($BO40,OFFSET(SourceData!$BC$4,MATCH(BY39,SourceData!$BC$5:$BC$28,0),MATCH($C43,SourceData!$BD$3:$BP$3,0)),T40*T43)</f>
        <v>2716.84</v>
      </c>
      <c r="BZ40" s="84">
        <f ca="1">IF($BO40,OFFSET(SourceData!$BC$4,MATCH(BZ39,SourceData!$BC$5:$BC$28,0),MATCH($C43,SourceData!$BD$3:$BP$3,0)),U40*U43)</f>
        <v>3073.2</v>
      </c>
      <c r="CA40" s="84">
        <f ca="1">IF($BO40,OFFSET(SourceData!$BC$4,MATCH(CA39,SourceData!$BC$5:$BC$28,0),MATCH($C43,SourceData!$BD$3:$BP$3,0)),V40*V43)</f>
        <v>3296.1349999999998</v>
      </c>
      <c r="CB40" s="84">
        <f ca="1">IF($BO40,OFFSET(SourceData!$BC$4,MATCH(CB39,SourceData!$BC$5:$BC$28,0),MATCH($C43,SourceData!$BD$3:$BP$3,0)),W40*W43)</f>
        <v>3531.21</v>
      </c>
      <c r="CC40" s="84">
        <f ca="1">IF($BO40,OFFSET(SourceData!$BC$4,MATCH(CC39,SourceData!$BC$5:$BC$28,0),MATCH($C43,SourceData!$BD$3:$BP$3,0)),X40*X43)</f>
        <v>3779.37</v>
      </c>
      <c r="CD40" s="84">
        <f ca="1">IF($BO40,OFFSET(SourceData!$BC$4,MATCH(CD39,SourceData!$BC$5:$BC$28,0),MATCH($C43,SourceData!$BD$3:$BP$3,0)),Y40*Y43)</f>
        <v>4040.96</v>
      </c>
      <c r="CE40" s="84">
        <f ca="1">IF($BO40,OFFSET(SourceData!$BC$4,MATCH(CE39,SourceData!$BC$5:$BC$28,0),MATCH($C43,SourceData!$BD$3:$BP$3,0)),Z40*Z43)</f>
        <v>4317.3</v>
      </c>
      <c r="CF40" s="84">
        <f ca="1">IF($BO40,OFFSET(SourceData!$BC$4,MATCH(CF39,SourceData!$BC$5:$BC$28,0),MATCH($C43,SourceData!$BD$3:$BP$3,0)),AA40*AA43)</f>
        <v>4607.6529064097795</v>
      </c>
      <c r="CG40" s="84">
        <f ca="1">IF($BO40,OFFSET(SourceData!$BC$4,MATCH(CG39,SourceData!$BC$5:$BC$28,0),MATCH($C43,SourceData!$BD$3:$BP$3,0)),AB40*AB43)</f>
        <v>4912.8715964293333</v>
      </c>
      <c r="CH40" s="84">
        <f ca="1">IF($BO40,OFFSET(SourceData!$BC$4,MATCH(CH39,SourceData!$BC$5:$BC$28,0),MATCH($C43,SourceData!$BD$3:$BP$3,0)),AC40*AC43)</f>
        <v>5233.3758919984693</v>
      </c>
      <c r="CI40" s="84">
        <f ca="1">IF($BO40,OFFSET(SourceData!$BC$4,MATCH(CI39,SourceData!$BC$5:$BC$28,0),MATCH($C43,SourceData!$BD$3:$BP$3,0)),AD40*AD43)</f>
        <v>5569.5730506684913</v>
      </c>
      <c r="CJ40" s="84">
        <f ca="1">IF($BO40,OFFSET(SourceData!$BC$4,MATCH(CJ39,SourceData!$BC$5:$BC$28,0),MATCH($C43,SourceData!$BD$3:$BP$3,0)),AE40*AE43)</f>
        <v>5879.3826449088692</v>
      </c>
      <c r="CK40" s="84">
        <f ca="1">IF($BO40,OFFSET(SourceData!$BC$4,MATCH(CK39,SourceData!$BC$5:$BC$28,0),MATCH($C43,SourceData!$BD$3:$BP$3,0)),AF40*AF43)</f>
        <v>6205.9713456157633</v>
      </c>
      <c r="CL40" s="84">
        <f ca="1">IF($BO40,OFFSET(SourceData!$BC$4,MATCH(CL39,SourceData!$BC$5:$BC$28,0),MATCH($C43,SourceData!$BD$3:$BP$3,0)),AG40*AG43)</f>
        <v>10073.133252597434</v>
      </c>
      <c r="CM40" s="84">
        <f ca="1">IF($BO40,OFFSET(SourceData!$BC$4,MATCH(CM39,SourceData!$BC$5:$BC$28,0),MATCH($C43,SourceData!$BD$3:$BP$3,0)),AH40*AH43)</f>
        <v>17181.573419627595</v>
      </c>
      <c r="CN40" s="118" t="str">
        <f t="shared" ref="CN40:CN42" ca="1" si="1392">CO40&amp;" "&amp;CP40&amp;" "&amp;CQ40&amp;" "&amp;CR40&amp;" "&amp;CS40&amp;" "&amp;CT40&amp;" "&amp;CU40&amp;" "&amp;CV40&amp;" "&amp;CW40&amp;" "&amp;CX40&amp;" "&amp;CY40&amp;" "&amp;CZ40&amp;" "&amp;DA40&amp;" "&amp;DB40&amp;" "&amp;DC40&amp;" "&amp;DD40&amp;" "&amp;DE40&amp;" "&amp;DF40&amp;" "&amp;DG40&amp;" "&amp;DH40&amp;" "&amp;DI40&amp;" "&amp;DJ40&amp;" "&amp;DK40&amp;" "&amp;DL40&amp;" "</f>
        <v xml:space="preserve">61.8 76.6 95.1 115.6 138.6 164.3 191.7 221.4 253.7 288.7 326.6 351 376.8 404.1 433 463.5 495.7 529.6 565.3 602.8 637.6 673 1092.4 1863.3 </v>
      </c>
      <c r="CO40" s="117">
        <f ca="1">ROUND(BP40*(1-AQ40)*(1-$AK40)/8.76,1)</f>
        <v>61.8</v>
      </c>
      <c r="CP40" s="117">
        <f t="shared" ref="CP40:CP42" ca="1" si="1393">ROUND(BQ40*(1-AR40)*(1-$AK40)/8.76,1)</f>
        <v>76.599999999999994</v>
      </c>
      <c r="CQ40" s="117">
        <f t="shared" ref="CQ40:CQ42" ca="1" si="1394">ROUND(BR40*(1-AS40)*(1-$AK40)/8.76,1)</f>
        <v>95.1</v>
      </c>
      <c r="CR40" s="117">
        <f t="shared" ref="CR40:CR42" ca="1" si="1395">ROUND(BS40*(1-AT40)*(1-$AK40)/8.76,1)</f>
        <v>115.6</v>
      </c>
      <c r="CS40" s="117">
        <f t="shared" ref="CS40:CS42" ca="1" si="1396">ROUND(BT40*(1-AU40)*(1-$AK40)/8.76,1)</f>
        <v>138.6</v>
      </c>
      <c r="CT40" s="117">
        <f t="shared" ref="CT40:CT42" ca="1" si="1397">ROUND(BU40*(1-AV40)*(1-$AK40)/8.76,1)</f>
        <v>164.3</v>
      </c>
      <c r="CU40" s="117">
        <f t="shared" ref="CU40:CU42" ca="1" si="1398">ROUND(BV40*(1-AW40)*(1-$AK40)/8.76,1)</f>
        <v>191.7</v>
      </c>
      <c r="CV40" s="117">
        <f t="shared" ref="CV40:CV42" ca="1" si="1399">ROUND(BW40*(1-AX40)*(1-$AK40)/8.76,1)</f>
        <v>221.4</v>
      </c>
      <c r="CW40" s="117">
        <f t="shared" ref="CW40:CW42" ca="1" si="1400">ROUND(BX40*(1-AY40)*(1-$AK40)/8.76,1)</f>
        <v>253.7</v>
      </c>
      <c r="CX40" s="117">
        <f t="shared" ref="CX40:CX42" ca="1" si="1401">ROUND(BY40*(1-AZ40)*(1-$AK40)/8.76,1)</f>
        <v>288.7</v>
      </c>
      <c r="CY40" s="117">
        <f t="shared" ref="CY40:CY42" ca="1" si="1402">ROUND(BZ40*(1-BA40)*(1-$AK40)/8.76,1)</f>
        <v>326.60000000000002</v>
      </c>
      <c r="CZ40" s="117">
        <f t="shared" ref="CZ40:CZ42" ca="1" si="1403">ROUND(CA40*(1-BB40)*(1-$AK40)/8.76,1)</f>
        <v>351</v>
      </c>
      <c r="DA40" s="117">
        <f t="shared" ref="DA40:DA42" ca="1" si="1404">ROUND(CB40*(1-BC40)*(1-$AK40)/8.76,1)</f>
        <v>376.8</v>
      </c>
      <c r="DB40" s="117">
        <f t="shared" ref="DB40:DB42" ca="1" si="1405">ROUND(CC40*(1-BD40)*(1-$AK40)/8.76,1)</f>
        <v>404.1</v>
      </c>
      <c r="DC40" s="117">
        <f t="shared" ref="DC40:DC42" ca="1" si="1406">ROUND(CD40*(1-BE40)*(1-$AK40)/8.76,1)</f>
        <v>433</v>
      </c>
      <c r="DD40" s="117">
        <f t="shared" ref="DD40:DD42" ca="1" si="1407">ROUND(CE40*(1-BF40)*(1-$AK40)/8.76,1)</f>
        <v>463.5</v>
      </c>
      <c r="DE40" s="117">
        <f ca="1">ROUND(CF40*(1-BG40)*(1-$AK40)/8.76,1)</f>
        <v>495.7</v>
      </c>
      <c r="DF40" s="117">
        <f t="shared" ref="DF40:DF42" ca="1" si="1408">ROUND(CG40*(1-BH40)*(1-$AK40)/8.76,1)</f>
        <v>529.6</v>
      </c>
      <c r="DG40" s="117">
        <f t="shared" ref="DG40:DG42" ca="1" si="1409">ROUND(CH40*(1-BI40)*(1-$AK40)/8.76,1)</f>
        <v>565.29999999999995</v>
      </c>
      <c r="DH40" s="117">
        <f ca="1">ROUND(CI40*(1-BJ40)*(1-$AK40)/8.76,1)</f>
        <v>602.79999999999995</v>
      </c>
      <c r="DI40" s="117">
        <f t="shared" ref="DI40:DI42" ca="1" si="1410">ROUND(CJ40*(1-BK40)*(1-$AK40)/8.76,1)</f>
        <v>637.6</v>
      </c>
      <c r="DJ40" s="117">
        <f ca="1">ROUND(CK40*(1-BL40)*(1-$AK40)/8.76,1)</f>
        <v>673</v>
      </c>
      <c r="DK40" s="117">
        <f ca="1">ROUND(CL40*(1-BM40)*(1-$AK40)/8.76,1)</f>
        <v>1092.4000000000001</v>
      </c>
      <c r="DL40" s="117">
        <f t="shared" ref="DL40:DL42" ca="1" si="1411">ROUND(CM40*(1-BN40)*(1-$AK40)/8.76,1)</f>
        <v>1863.3</v>
      </c>
      <c r="DM40" s="118" t="str">
        <f t="shared" ref="DM40:DM42" si="1412">DN40&amp;" "&amp;DO40&amp;" "&amp;DP40&amp;" "&amp;DQ40&amp;" "&amp;DR40&amp;" "&amp;DS40&amp;" "&amp;DT40&amp;" "&amp;DU40&amp;" "&amp;DV40&amp;" "&amp;DW40&amp;" "&amp;DX40&amp;" "&amp;DY40&amp;" "&amp;DZ40&amp;" "&amp;EA40&amp;" "&amp;EB40&amp;" "&amp;EC40&amp;" "&amp;ED40&amp;" "&amp;EE40&amp;" "&amp;EF40&amp;" "&amp;EG40&amp;" "&amp;EH40&amp;" "&amp;EI40&amp;" "&amp;EJ40&amp;" "&amp;EK40&amp;" "</f>
        <v xml:space="preserve">0.98 0.98 0.98 0.98 0.98 0.98 0.98 0.98 0.98 0.98 0.98 0.982 0.984 0.986 0.988 0.99 0.992 0.994 0.996 0.998 1 1 1 1 </v>
      </c>
      <c r="DN40" s="72">
        <f>1-AQ40</f>
        <v>0.98</v>
      </c>
      <c r="DO40" s="72">
        <f t="shared" ref="DO40:DO42" si="1413">1-AR40</f>
        <v>0.98</v>
      </c>
      <c r="DP40" s="72">
        <f t="shared" ref="DP40:DP42" si="1414">1-AS40</f>
        <v>0.98</v>
      </c>
      <c r="DQ40" s="72">
        <f t="shared" ref="DQ40:DQ42" si="1415">1-AT40</f>
        <v>0.98</v>
      </c>
      <c r="DR40" s="72">
        <f t="shared" ref="DR40:DR42" si="1416">1-AU40</f>
        <v>0.98</v>
      </c>
      <c r="DS40" s="72">
        <f t="shared" ref="DS40:DS42" si="1417">1-AV40</f>
        <v>0.98</v>
      </c>
      <c r="DT40" s="72">
        <f t="shared" ref="DT40:DT42" si="1418">1-AW40</f>
        <v>0.98</v>
      </c>
      <c r="DU40" s="72">
        <f t="shared" ref="DU40:DU42" si="1419">1-AX40</f>
        <v>0.98</v>
      </c>
      <c r="DV40" s="72">
        <f t="shared" ref="DV40:DV42" si="1420">1-AY40</f>
        <v>0.98</v>
      </c>
      <c r="DW40" s="72">
        <f t="shared" ref="DW40:DW42" si="1421">1-AZ40</f>
        <v>0.98</v>
      </c>
      <c r="DX40" s="72">
        <f t="shared" ref="DX40:DX42" si="1422">1-BA40</f>
        <v>0.98</v>
      </c>
      <c r="DY40" s="72">
        <f t="shared" ref="DY40:DY42" si="1423">1-BB40</f>
        <v>0.98199999999999998</v>
      </c>
      <c r="DZ40" s="72">
        <f t="shared" ref="DZ40:DZ42" si="1424">1-BC40</f>
        <v>0.98399999999999999</v>
      </c>
      <c r="EA40" s="72">
        <f t="shared" ref="EA40:EA42" si="1425">1-BD40</f>
        <v>0.98599999999999999</v>
      </c>
      <c r="EB40" s="72">
        <f t="shared" ref="EB40:EB42" si="1426">1-BE40</f>
        <v>0.98799999999999999</v>
      </c>
      <c r="EC40" s="72">
        <f t="shared" ref="EC40:EC42" si="1427">1-BF40</f>
        <v>0.99</v>
      </c>
      <c r="ED40" s="72">
        <f t="shared" ref="ED40:ED42" si="1428">1-BG40</f>
        <v>0.99199999999999999</v>
      </c>
      <c r="EE40" s="72">
        <f t="shared" ref="EE40:EE42" si="1429">1-BH40</f>
        <v>0.99399999999999999</v>
      </c>
      <c r="EF40" s="72">
        <f t="shared" ref="EF40:EF42" si="1430">1-BI40</f>
        <v>0.996</v>
      </c>
      <c r="EG40" s="72">
        <f t="shared" ref="EG40:EG42" si="1431">1-BJ40</f>
        <v>0.998</v>
      </c>
      <c r="EH40" s="72">
        <f t="shared" ref="EH40:EH42" si="1432">1-BK40</f>
        <v>1</v>
      </c>
      <c r="EI40" s="72">
        <f t="shared" ref="EI40:EI42" si="1433">1-BL40</f>
        <v>1</v>
      </c>
      <c r="EJ40" s="72">
        <f t="shared" ref="EJ40:EJ42" si="1434">1-BM40</f>
        <v>1</v>
      </c>
      <c r="EK40" s="72">
        <f t="shared" ref="EK40:EK42" si="1435">1-BN40</f>
        <v>1</v>
      </c>
    </row>
    <row r="41" spans="1:141" x14ac:dyDescent="0.25">
      <c r="A41" t="str">
        <f t="shared" si="20"/>
        <v>UrbanCIV</v>
      </c>
      <c r="B41" t="str">
        <f t="shared" si="1389"/>
        <v>Urban</v>
      </c>
      <c r="C41" t="str">
        <f>IFERROR(VLOOKUP(D41,'For model'!$B$4:$C$16,2,FALSE),C40)</f>
        <v>CIV</v>
      </c>
      <c r="D41" t="s">
        <v>536</v>
      </c>
      <c r="E41" s="72">
        <f>1-E40-E42</f>
        <v>0.88</v>
      </c>
      <c r="F41" s="72">
        <f>1-F40-F42</f>
        <v>0.77</v>
      </c>
      <c r="G41" s="72">
        <f t="shared" ref="G41:H41" si="1436">1-G40-G42</f>
        <v>0.66999999999999993</v>
      </c>
      <c r="H41" s="72">
        <f t="shared" si="1436"/>
        <v>0.6</v>
      </c>
      <c r="I41" s="72">
        <f t="shared" ref="I41" si="1437">1-I40-I42</f>
        <v>0.54999999999999993</v>
      </c>
      <c r="K41" s="72">
        <f t="shared" ref="K41:K42" si="1438">E41</f>
        <v>0.88</v>
      </c>
      <c r="L41" s="72">
        <f t="shared" ref="L41:O41" si="1439">($P41-$K41)/($P$4-$K$4)+K41</f>
        <v>0.85799999999999998</v>
      </c>
      <c r="M41" s="72">
        <f t="shared" si="1439"/>
        <v>0.83599999999999997</v>
      </c>
      <c r="N41" s="72">
        <f t="shared" si="1439"/>
        <v>0.81399999999999995</v>
      </c>
      <c r="O41" s="72">
        <f t="shared" si="1439"/>
        <v>0.79199999999999993</v>
      </c>
      <c r="P41" s="72">
        <f t="shared" ref="P41:P42" si="1440">F41</f>
        <v>0.77</v>
      </c>
      <c r="Q41" s="72">
        <f t="shared" ref="Q41:T41" si="1441">($U41-$P41)/($U$4-$P$4)+P41</f>
        <v>0.75</v>
      </c>
      <c r="R41" s="72">
        <f t="shared" si="1441"/>
        <v>0.73</v>
      </c>
      <c r="S41" s="72">
        <f t="shared" si="1441"/>
        <v>0.71</v>
      </c>
      <c r="T41" s="72">
        <f t="shared" si="1441"/>
        <v>0.69</v>
      </c>
      <c r="U41" s="72">
        <f t="shared" ref="U41:U42" si="1442">G41</f>
        <v>0.66999999999999993</v>
      </c>
      <c r="V41" s="72">
        <f t="shared" ref="V41:V42" si="1443">(AE41-U41)/(AE$4-U$4)+U41</f>
        <v>0.66299999999999992</v>
      </c>
      <c r="W41" s="72">
        <f t="shared" ref="W41:W42" si="1444">(AE41-U41)/(AE$4-U$4)+V41</f>
        <v>0.65599999999999992</v>
      </c>
      <c r="X41" s="72">
        <f t="shared" ref="X41:X42" si="1445">(AE41-U41)/(AE$4-U$4)+W41</f>
        <v>0.64899999999999991</v>
      </c>
      <c r="Y41" s="72">
        <f t="shared" ref="Y41:Y42" si="1446">(AE41-U41)/(AE$4-U$4)+X41</f>
        <v>0.6419999999999999</v>
      </c>
      <c r="Z41" s="72">
        <f t="shared" ref="Z41:Z42" si="1447">(AE41-U41)/(AE$4-U$4)+Y41</f>
        <v>0.6349999999999999</v>
      </c>
      <c r="AA41" s="72">
        <f t="shared" ref="AA41:AA42" si="1448">(AE41-U41)/(AE$4-U$4)+Z41</f>
        <v>0.62799999999999989</v>
      </c>
      <c r="AB41" s="72">
        <f t="shared" ref="AB41:AB42" si="1449">(AE41-U41)/(AE$4-U$4)+AA41</f>
        <v>0.62099999999999989</v>
      </c>
      <c r="AC41" s="72">
        <f t="shared" ref="AC41:AC42" si="1450">(AE41-U41)/(AE$4-U$4)+AB41</f>
        <v>0.61399999999999988</v>
      </c>
      <c r="AD41" s="72">
        <f t="shared" ref="AD41:AD42" si="1451">(AE41-U41)/(AE$4-U$4)+AC41</f>
        <v>0.60699999999999987</v>
      </c>
      <c r="AE41" s="72">
        <f t="shared" ref="AE41:AE42" si="1452">H41</f>
        <v>0.6</v>
      </c>
      <c r="AF41" s="72">
        <f>(AH41-AE41)/(AH$4-AE$4)+AE41</f>
        <v>0.59749999999999992</v>
      </c>
      <c r="AG41" s="72">
        <f t="shared" ref="AG41:AG42" si="1453">(AE41+AH41)/2</f>
        <v>0.57499999999999996</v>
      </c>
      <c r="AH41" s="72">
        <f>I41</f>
        <v>0.54999999999999993</v>
      </c>
      <c r="AJ41" s="72" t="s">
        <v>548</v>
      </c>
      <c r="AK41" s="72">
        <f>AK40</f>
        <v>0.05</v>
      </c>
      <c r="AL41" s="111">
        <v>0.19500000000000001</v>
      </c>
      <c r="AM41" s="72">
        <v>0.1</v>
      </c>
      <c r="AN41" s="72">
        <v>0.08</v>
      </c>
      <c r="AO41" s="72">
        <f>AN41</f>
        <v>0.08</v>
      </c>
      <c r="AP41" s="118" t="str">
        <f>AQ41&amp;" "&amp;AR41&amp;" "&amp;AS41&amp;" "&amp;AT41&amp;" "&amp;AU41&amp;" "&amp;AV41&amp;" "&amp;AW41&amp;" "&amp;AX41&amp;" "&amp;AY41&amp;" "&amp;AZ41&amp;" "&amp;BA41&amp;" "&amp;BB41&amp;" "&amp;BC41&amp;" "&amp;BD41&amp;" "&amp;BE41&amp;" "&amp;BF41&amp;" "&amp;BG41&amp;" "&amp;BH41&amp;" "&amp;BI41&amp;" "&amp;BJ41&amp;" "&amp;BK41&amp;" "&amp;BL41&amp;" "&amp;BM41&amp;" "&amp;BN41&amp;" "</f>
        <v xml:space="preserve">0.195 0.1855 0.176 0.1665 0.157 0.1475 0.138 0.1285 0.119 0.1095 0.1 0.098 0.096 0.094 0.092 0.09 0.088 0.086 0.084 0.082 0.08 0.08 0.08 0.08 </v>
      </c>
      <c r="AQ41" s="72">
        <f t="shared" ref="AQ41:AQ42" si="1454">AL41</f>
        <v>0.19500000000000001</v>
      </c>
      <c r="AR41" s="72">
        <f t="shared" ref="AR41:AR42" si="1455">(BA41-AQ41)/(BA$4-AQ$4)+AQ41</f>
        <v>0.1855</v>
      </c>
      <c r="AS41" s="72">
        <f t="shared" ref="AS41:AS42" si="1456">(BA41-AQ41)/(BA$4-AQ$4)+AR41</f>
        <v>0.17599999999999999</v>
      </c>
      <c r="AT41" s="72">
        <f t="shared" ref="AT41:AT42" si="1457">(BA41-AQ41)/(BA$4-AQ$4)+AS41</f>
        <v>0.16649999999999998</v>
      </c>
      <c r="AU41" s="72">
        <f t="shared" ref="AU41:AU42" si="1458">(BA41-AQ41)/(BA$4-AQ$4)+AT41</f>
        <v>0.15699999999999997</v>
      </c>
      <c r="AV41" s="72">
        <f t="shared" ref="AV41:AV42" si="1459">(BA41-AQ41)/(BA$4-AQ$4)+AU41</f>
        <v>0.14749999999999996</v>
      </c>
      <c r="AW41" s="72">
        <f t="shared" ref="AW41:AW42" si="1460">(BA41-AQ41)/(BA$4-AQ$4)+AV41</f>
        <v>0.13799999999999996</v>
      </c>
      <c r="AX41" s="72">
        <f t="shared" ref="AX41:AX42" si="1461">(BA41-AQ41)/(BA$4-AQ$4)+AW41</f>
        <v>0.12849999999999995</v>
      </c>
      <c r="AY41" s="72">
        <f t="shared" ref="AY41:AY42" si="1462">(BA41-AQ41)/(BA$4-AQ$4)+AX41</f>
        <v>0.11899999999999995</v>
      </c>
      <c r="AZ41" s="72">
        <f t="shared" ref="AZ41:AZ42" si="1463">(BA41-AQ41)/(BA$4-AQ$4)+AY41</f>
        <v>0.10949999999999996</v>
      </c>
      <c r="BA41" s="72">
        <f t="shared" ref="BA41:BA42" si="1464">AM41</f>
        <v>0.1</v>
      </c>
      <c r="BB41" s="72">
        <f t="shared" ref="BB41:BB42" si="1465">(BK41-BA41)/(BK$4-BA$4)+BA41</f>
        <v>9.8000000000000004E-2</v>
      </c>
      <c r="BC41" s="72">
        <f t="shared" ref="BC41:BC42" si="1466">(BK41-BA41)/(BK$4-BA$4)+BB41</f>
        <v>9.6000000000000002E-2</v>
      </c>
      <c r="BD41" s="72">
        <f t="shared" ref="BD41:BD42" si="1467">(BK41-BA41)/(BK$4-BA$4)+BC41</f>
        <v>9.4E-2</v>
      </c>
      <c r="BE41" s="72">
        <f t="shared" ref="BE41:BE42" si="1468">(BK41-BA41)/(BK$4-BA$4)+BD41</f>
        <v>9.1999999999999998E-2</v>
      </c>
      <c r="BF41" s="72">
        <f t="shared" ref="BF41:BF42" si="1469">(BK41-BA41)/(BK$4-BA$4)+BE41</f>
        <v>0.09</v>
      </c>
      <c r="BG41" s="72">
        <f t="shared" ref="BG41:BG42" si="1470">(BK41-BA41)/(BK$4-BA$4)+BF41</f>
        <v>8.7999999999999995E-2</v>
      </c>
      <c r="BH41" s="72">
        <f t="shared" ref="BH41:BH42" si="1471">(BK41-BA41)/(BK$4-BA$4)+BG41</f>
        <v>8.5999999999999993E-2</v>
      </c>
      <c r="BI41" s="72">
        <f t="shared" ref="BI41:BI42" si="1472">(BK41-BA41)/(BK$4-BA$4)+BH41</f>
        <v>8.3999999999999991E-2</v>
      </c>
      <c r="BJ41" s="72">
        <f t="shared" ref="BJ41:BJ42" si="1473">(BK41-BA41)/(BK$4-BA$4)+BI41</f>
        <v>8.199999999999999E-2</v>
      </c>
      <c r="BK41" s="72">
        <f t="shared" ref="BK41:BK42" si="1474">AN41</f>
        <v>0.08</v>
      </c>
      <c r="BL41" s="72">
        <f>(BN41-BK41)/(BN$4-BK$4)+BK41</f>
        <v>0.08</v>
      </c>
      <c r="BM41" s="72">
        <f t="shared" ref="BM41:BM42" si="1475">(BK41+BN41)/2</f>
        <v>0.08</v>
      </c>
      <c r="BN41" s="72">
        <f>AO41</f>
        <v>0.08</v>
      </c>
      <c r="BP41" s="84">
        <f ca="1">K41/(K41+K42)*(K43-BP40)</f>
        <v>5115.8799999999992</v>
      </c>
      <c r="BQ41" s="84">
        <f t="shared" ref="BQ41" ca="1" si="1476">L41/(L41+L42)*(L43-BQ40)</f>
        <v>5152.29</v>
      </c>
      <c r="BR41" s="84">
        <f t="shared" ref="BR41" ca="1" si="1477">M41/(M41+M42)*(M43-BR40)</f>
        <v>5342.0399999999991</v>
      </c>
      <c r="BS41" s="84">
        <f t="shared" ref="BS41" ca="1" si="1478">N41/(N41+N42)*(N43-BS40)</f>
        <v>5534.3859999999995</v>
      </c>
      <c r="BT41" s="84">
        <f t="shared" ref="BT41" ca="1" si="1479">O41/(O41+O42)*(O43-BT40)</f>
        <v>5738.0399999999991</v>
      </c>
      <c r="BU41" s="84">
        <f t="shared" ref="BU41" ca="1" si="1480">P41/(P41+P42)*(P43-BU40)</f>
        <v>5952.87</v>
      </c>
      <c r="BV41" s="84">
        <f t="shared" ref="BV41" ca="1" si="1481">Q41/(Q41+Q42)*(Q43-BV40)</f>
        <v>6147.7499999999991</v>
      </c>
      <c r="BW41" s="84">
        <f t="shared" ref="BW41" ca="1" si="1482">R41/(R41+R42)*(R43-BW40)</f>
        <v>6336.4000000000005</v>
      </c>
      <c r="BX41" s="84">
        <f t="shared" ref="BX41" ca="1" si="1483">S41/(S41+S42)*(S43-BX40)</f>
        <v>6519.22</v>
      </c>
      <c r="BY41" s="84">
        <f t="shared" ref="BY41" ca="1" si="1484">T41/(T41+T42)*(T43-BY40)</f>
        <v>6695.07</v>
      </c>
      <c r="BZ41" s="84">
        <f t="shared" ref="BZ41" ca="1" si="1485">U41/(U41+U42)*(U43-BZ40)</f>
        <v>6863.48</v>
      </c>
      <c r="CA41" s="84">
        <f t="shared" ref="CA41" ca="1" si="1486">V41/(V41+V42)*(V43-CA40)</f>
        <v>7165.0409999999993</v>
      </c>
      <c r="CB41" s="84">
        <f t="shared" ref="CB41" ca="1" si="1487">W41/(W41+W42)*(W43-CB40)</f>
        <v>7472.4959999999992</v>
      </c>
      <c r="CC41" s="84">
        <f t="shared" ref="CC41" ca="1" si="1488">X41/(X41+X42)*(X43-CC40)</f>
        <v>7786.7020000000002</v>
      </c>
      <c r="CD41" s="84">
        <f t="shared" ref="CD41" ca="1" si="1489">Y41/(Y41+Y42)*(Y43-CD40)</f>
        <v>8107.1760000000004</v>
      </c>
      <c r="CE41" s="84">
        <f t="shared" ref="CE41" ca="1" si="1490">Z41/(Z41+Z42)*(Z43-CE40)</f>
        <v>8435.34</v>
      </c>
      <c r="CF41" s="84">
        <f t="shared" ref="CF41" ca="1" si="1491">AA41/(AA41+AA42)*(AA43-CF40)</f>
        <v>8768.5031067434575</v>
      </c>
      <c r="CG41" s="84">
        <f t="shared" ref="CG41" ca="1" si="1492">AB41/(AB41+AB42)*(AB43-CG40)</f>
        <v>9107.1440638287022</v>
      </c>
      <c r="CH41" s="84">
        <f t="shared" ref="CH41" ca="1" si="1493">AC41/(AC41+AC42)*(AC43-CH40)</f>
        <v>9450.8611696678199</v>
      </c>
      <c r="CI41" s="84">
        <f t="shared" ref="CI41" ca="1" si="1494">AD41/(AD41+AD42)*(AD43-CI40)</f>
        <v>9799.2198311761549</v>
      </c>
      <c r="CJ41" s="84">
        <f t="shared" ref="CJ41" ca="1" si="1495">AE41/(AE41+AE42)*(AE43-CJ40)</f>
        <v>10078.941676986631</v>
      </c>
      <c r="CK41" s="84">
        <f t="shared" ref="CK41" ca="1" si="1496">AF41/(AF41+AF42)*(AF43-CK40)</f>
        <v>10519.341500724593</v>
      </c>
      <c r="CL41" s="84">
        <f t="shared" ref="CL41" ca="1" si="1497">AG41/(AG41+AG42)*(AG43-CL40)</f>
        <v>15445.470987316066</v>
      </c>
      <c r="CM41" s="84">
        <f t="shared" ref="CM41" ca="1" si="1498">AH41/(AH41+AH42)*(AH43-CM40)</f>
        <v>23624.663451987941</v>
      </c>
      <c r="CN41" s="118" t="str">
        <f t="shared" ca="1" si="1392"/>
        <v xml:space="preserve">446.6 455.1 477.4 500.3 524.6 550.4 574.7 598.9 622.9 646.6 669.9 700.9 732.6 765.1 798.3 832.5 867.2 902.7 938.8 975.6 1005.6 1049.5 1541 2357.1 </v>
      </c>
      <c r="CO41" s="117">
        <f t="shared" ref="CO41:CO42" ca="1" si="1499">ROUND(BP41*(1-AQ41)*(1-$AK41)/8.76,1)</f>
        <v>446.6</v>
      </c>
      <c r="CP41" s="117">
        <f t="shared" ca="1" si="1393"/>
        <v>455.1</v>
      </c>
      <c r="CQ41" s="117">
        <f t="shared" ca="1" si="1394"/>
        <v>477.4</v>
      </c>
      <c r="CR41" s="117">
        <f t="shared" ca="1" si="1395"/>
        <v>500.3</v>
      </c>
      <c r="CS41" s="117">
        <f t="shared" ca="1" si="1396"/>
        <v>524.6</v>
      </c>
      <c r="CT41" s="117">
        <f t="shared" ca="1" si="1397"/>
        <v>550.4</v>
      </c>
      <c r="CU41" s="117">
        <f t="shared" ca="1" si="1398"/>
        <v>574.70000000000005</v>
      </c>
      <c r="CV41" s="117">
        <f t="shared" ca="1" si="1399"/>
        <v>598.9</v>
      </c>
      <c r="CW41" s="117">
        <f t="shared" ca="1" si="1400"/>
        <v>622.9</v>
      </c>
      <c r="CX41" s="117">
        <f t="shared" ca="1" si="1401"/>
        <v>646.6</v>
      </c>
      <c r="CY41" s="117">
        <f t="shared" ca="1" si="1402"/>
        <v>669.9</v>
      </c>
      <c r="CZ41" s="117">
        <f t="shared" ca="1" si="1403"/>
        <v>700.9</v>
      </c>
      <c r="DA41" s="117">
        <f t="shared" ca="1" si="1404"/>
        <v>732.6</v>
      </c>
      <c r="DB41" s="117">
        <f t="shared" ca="1" si="1405"/>
        <v>765.1</v>
      </c>
      <c r="DC41" s="117">
        <f t="shared" ca="1" si="1406"/>
        <v>798.3</v>
      </c>
      <c r="DD41" s="117">
        <f t="shared" ca="1" si="1407"/>
        <v>832.5</v>
      </c>
      <c r="DE41" s="117">
        <f t="shared" ref="DE41:DE42" ca="1" si="1500">ROUND(CF41*(1-BG41)*(1-$AK41)/8.76,1)</f>
        <v>867.2</v>
      </c>
      <c r="DF41" s="117">
        <f t="shared" ca="1" si="1408"/>
        <v>902.7</v>
      </c>
      <c r="DG41" s="117">
        <f t="shared" ca="1" si="1409"/>
        <v>938.8</v>
      </c>
      <c r="DH41" s="117">
        <f t="shared" ref="DH41:DH42" ca="1" si="1501">ROUND(CI41*(1-BJ41)*(1-$AK41)/8.76,1)</f>
        <v>975.6</v>
      </c>
      <c r="DI41" s="117">
        <f t="shared" ca="1" si="1410"/>
        <v>1005.6</v>
      </c>
      <c r="DJ41" s="117">
        <f t="shared" ref="DJ41:DJ42" ca="1" si="1502">ROUND(CK41*(1-BL41)*(1-$AK41)/8.76,1)</f>
        <v>1049.5</v>
      </c>
      <c r="DK41" s="117">
        <f t="shared" ref="DK41:DK42" ca="1" si="1503">ROUND(CL41*(1-BM41)*(1-$AK41)/8.76,1)</f>
        <v>1541</v>
      </c>
      <c r="DL41" s="117">
        <f t="shared" ca="1" si="1411"/>
        <v>2357.1</v>
      </c>
      <c r="DM41" s="118" t="str">
        <f t="shared" si="1412"/>
        <v xml:space="preserve">0.805 0.8145 0.824 0.8335 0.843 0.8525 0.862 0.8715 0.881 0.8905 0.9 0.902 0.904 0.906 0.908 0.91 0.912 0.914 0.916 0.918 0.92 0.92 0.92 0.92 </v>
      </c>
      <c r="DN41" s="72">
        <f t="shared" ref="DN41:DN42" si="1504">1-AQ41</f>
        <v>0.80499999999999994</v>
      </c>
      <c r="DO41" s="72">
        <f t="shared" si="1413"/>
        <v>0.8145</v>
      </c>
      <c r="DP41" s="72">
        <f t="shared" si="1414"/>
        <v>0.82400000000000007</v>
      </c>
      <c r="DQ41" s="72">
        <f t="shared" si="1415"/>
        <v>0.83350000000000002</v>
      </c>
      <c r="DR41" s="72">
        <f t="shared" si="1416"/>
        <v>0.84299999999999997</v>
      </c>
      <c r="DS41" s="72">
        <f t="shared" si="1417"/>
        <v>0.85250000000000004</v>
      </c>
      <c r="DT41" s="72">
        <f t="shared" si="1418"/>
        <v>0.8620000000000001</v>
      </c>
      <c r="DU41" s="72">
        <f t="shared" si="1419"/>
        <v>0.87150000000000005</v>
      </c>
      <c r="DV41" s="72">
        <f t="shared" si="1420"/>
        <v>0.88100000000000001</v>
      </c>
      <c r="DW41" s="72">
        <f t="shared" si="1421"/>
        <v>0.89050000000000007</v>
      </c>
      <c r="DX41" s="72">
        <f t="shared" si="1422"/>
        <v>0.9</v>
      </c>
      <c r="DY41" s="72">
        <f t="shared" si="1423"/>
        <v>0.90200000000000002</v>
      </c>
      <c r="DZ41" s="72">
        <f t="shared" si="1424"/>
        <v>0.90400000000000003</v>
      </c>
      <c r="EA41" s="72">
        <f t="shared" si="1425"/>
        <v>0.90600000000000003</v>
      </c>
      <c r="EB41" s="72">
        <f t="shared" si="1426"/>
        <v>0.90800000000000003</v>
      </c>
      <c r="EC41" s="72">
        <f t="shared" si="1427"/>
        <v>0.91</v>
      </c>
      <c r="ED41" s="72">
        <f t="shared" si="1428"/>
        <v>0.91200000000000003</v>
      </c>
      <c r="EE41" s="72">
        <f t="shared" si="1429"/>
        <v>0.91400000000000003</v>
      </c>
      <c r="EF41" s="72">
        <f t="shared" si="1430"/>
        <v>0.91600000000000004</v>
      </c>
      <c r="EG41" s="72">
        <f t="shared" si="1431"/>
        <v>0.91800000000000004</v>
      </c>
      <c r="EH41" s="72">
        <f t="shared" si="1432"/>
        <v>0.92</v>
      </c>
      <c r="EI41" s="72">
        <f t="shared" si="1433"/>
        <v>0.92</v>
      </c>
      <c r="EJ41" s="72">
        <f t="shared" si="1434"/>
        <v>0.92</v>
      </c>
      <c r="EK41" s="72">
        <f t="shared" si="1435"/>
        <v>0.92</v>
      </c>
    </row>
    <row r="42" spans="1:141" x14ac:dyDescent="0.25">
      <c r="A42" t="str">
        <f t="shared" si="20"/>
        <v>RuralCIV</v>
      </c>
      <c r="B42" t="str">
        <f t="shared" si="1389"/>
        <v>Rural</v>
      </c>
      <c r="C42" t="str">
        <f>IFERROR(VLOOKUP(D42,'For model'!$B$4:$C$16,2,FALSE),C41)</f>
        <v>CIV</v>
      </c>
      <c r="D42" t="s">
        <v>518</v>
      </c>
      <c r="E42" s="72">
        <v>0.02</v>
      </c>
      <c r="F42" s="72">
        <v>0.03</v>
      </c>
      <c r="G42" s="72">
        <v>0.03</v>
      </c>
      <c r="H42" s="72">
        <v>0.05</v>
      </c>
      <c r="I42" s="72">
        <v>0.05</v>
      </c>
      <c r="K42" s="72">
        <f t="shared" si="1438"/>
        <v>0.02</v>
      </c>
      <c r="L42" s="72">
        <f t="shared" ref="L42:O42" si="1505">($P42-$K42)/($P$4-$K$4)+K42</f>
        <v>2.1999999999999999E-2</v>
      </c>
      <c r="M42" s="72">
        <f t="shared" si="1505"/>
        <v>2.3999999999999997E-2</v>
      </c>
      <c r="N42" s="72">
        <f t="shared" si="1505"/>
        <v>2.5999999999999995E-2</v>
      </c>
      <c r="O42" s="72">
        <f t="shared" si="1505"/>
        <v>2.7999999999999994E-2</v>
      </c>
      <c r="P42" s="72">
        <f t="shared" si="1440"/>
        <v>0.03</v>
      </c>
      <c r="Q42" s="72">
        <f t="shared" ref="Q42:T42" si="1506">($U42-$P42)/($U$4-$P$4)+P42</f>
        <v>0.03</v>
      </c>
      <c r="R42" s="72">
        <f t="shared" si="1506"/>
        <v>0.03</v>
      </c>
      <c r="S42" s="72">
        <f t="shared" si="1506"/>
        <v>0.03</v>
      </c>
      <c r="T42" s="72">
        <f t="shared" si="1506"/>
        <v>0.03</v>
      </c>
      <c r="U42" s="72">
        <f t="shared" si="1442"/>
        <v>0.03</v>
      </c>
      <c r="V42" s="72">
        <f t="shared" si="1443"/>
        <v>3.2000000000000001E-2</v>
      </c>
      <c r="W42" s="72">
        <f t="shared" si="1444"/>
        <v>3.4000000000000002E-2</v>
      </c>
      <c r="X42" s="72">
        <f t="shared" si="1445"/>
        <v>3.6000000000000004E-2</v>
      </c>
      <c r="Y42" s="72">
        <f t="shared" si="1446"/>
        <v>3.8000000000000006E-2</v>
      </c>
      <c r="Z42" s="72">
        <f t="shared" si="1447"/>
        <v>4.0000000000000008E-2</v>
      </c>
      <c r="AA42" s="72">
        <f t="shared" si="1448"/>
        <v>4.200000000000001E-2</v>
      </c>
      <c r="AB42" s="72">
        <f t="shared" si="1449"/>
        <v>4.4000000000000011E-2</v>
      </c>
      <c r="AC42" s="72">
        <f t="shared" si="1450"/>
        <v>4.6000000000000013E-2</v>
      </c>
      <c r="AD42" s="72">
        <f t="shared" si="1451"/>
        <v>4.8000000000000015E-2</v>
      </c>
      <c r="AE42" s="72">
        <f t="shared" si="1452"/>
        <v>0.05</v>
      </c>
      <c r="AF42" s="72">
        <f>(AH42-AE42)/(AH$4-AE$4)+AE42</f>
        <v>0.05</v>
      </c>
      <c r="AG42" s="72">
        <f t="shared" si="1453"/>
        <v>0.05</v>
      </c>
      <c r="AH42" s="72">
        <f>I42</f>
        <v>0.05</v>
      </c>
      <c r="AJ42" s="116">
        <f>1-((1-AL42)*K42+(1-AL41)*K41+(1-AL40)*K40)*(1-AK40)</f>
        <v>0.21967000000000014</v>
      </c>
      <c r="AK42" s="72">
        <f>AK41</f>
        <v>0.05</v>
      </c>
      <c r="AL42" s="72">
        <v>0.25</v>
      </c>
      <c r="AM42" s="72">
        <v>0.2</v>
      </c>
      <c r="AN42" s="72">
        <v>0.2</v>
      </c>
      <c r="AO42" s="72">
        <f>AN42</f>
        <v>0.2</v>
      </c>
      <c r="AP42" s="118" t="str">
        <f>AQ42&amp;" "&amp;AR42&amp;" "&amp;AS42&amp;" "&amp;AT42&amp;" "&amp;AU42&amp;" "&amp;AV42&amp;" "&amp;AW42&amp;" "&amp;AX42&amp;" "&amp;AY42&amp;" "&amp;AZ42&amp;" "&amp;BA42&amp;" "&amp;BB42&amp;" "&amp;BC42&amp;" "&amp;BD42&amp;" "&amp;BE42&amp;" "&amp;BF42&amp;" "&amp;BG42&amp;" "&amp;BH42&amp;" "&amp;BI42&amp;" "&amp;BJ42&amp;" "&amp;BK42&amp;" "&amp;BL42&amp;" "&amp;BM42&amp;" "&amp;BN42&amp;" "</f>
        <v xml:space="preserve">0.25 0.245 0.24 0.235 0.23 0.225 0.22 0.215 0.21 0.205 0.2 0.2 0.2 0.2 0.2 0.2 0.2 0.2 0.2 0.2 0.2 0.2 0.2 0.2 </v>
      </c>
      <c r="AQ42" s="72">
        <f t="shared" si="1454"/>
        <v>0.25</v>
      </c>
      <c r="AR42" s="72">
        <f t="shared" si="1455"/>
        <v>0.245</v>
      </c>
      <c r="AS42" s="72">
        <f t="shared" si="1456"/>
        <v>0.24</v>
      </c>
      <c r="AT42" s="72">
        <f t="shared" si="1457"/>
        <v>0.23499999999999999</v>
      </c>
      <c r="AU42" s="72">
        <f t="shared" si="1458"/>
        <v>0.22999999999999998</v>
      </c>
      <c r="AV42" s="72">
        <f t="shared" si="1459"/>
        <v>0.22499999999999998</v>
      </c>
      <c r="AW42" s="72">
        <f t="shared" si="1460"/>
        <v>0.21999999999999997</v>
      </c>
      <c r="AX42" s="72">
        <f t="shared" si="1461"/>
        <v>0.21499999999999997</v>
      </c>
      <c r="AY42" s="72">
        <f t="shared" si="1462"/>
        <v>0.20999999999999996</v>
      </c>
      <c r="AZ42" s="72">
        <f t="shared" si="1463"/>
        <v>0.20499999999999996</v>
      </c>
      <c r="BA42" s="72">
        <f t="shared" si="1464"/>
        <v>0.2</v>
      </c>
      <c r="BB42" s="72">
        <f t="shared" si="1465"/>
        <v>0.2</v>
      </c>
      <c r="BC42" s="72">
        <f t="shared" si="1466"/>
        <v>0.2</v>
      </c>
      <c r="BD42" s="72">
        <f t="shared" si="1467"/>
        <v>0.2</v>
      </c>
      <c r="BE42" s="72">
        <f t="shared" si="1468"/>
        <v>0.2</v>
      </c>
      <c r="BF42" s="72">
        <f t="shared" si="1469"/>
        <v>0.2</v>
      </c>
      <c r="BG42" s="72">
        <f t="shared" si="1470"/>
        <v>0.2</v>
      </c>
      <c r="BH42" s="72">
        <f t="shared" si="1471"/>
        <v>0.2</v>
      </c>
      <c r="BI42" s="72">
        <f t="shared" si="1472"/>
        <v>0.2</v>
      </c>
      <c r="BJ42" s="72">
        <f t="shared" si="1473"/>
        <v>0.2</v>
      </c>
      <c r="BK42" s="72">
        <f t="shared" si="1474"/>
        <v>0.2</v>
      </c>
      <c r="BL42" s="72">
        <f>(BN42-BK42)/(BN$4-BK$4)+BK42</f>
        <v>0.2</v>
      </c>
      <c r="BM42" s="72">
        <f t="shared" si="1475"/>
        <v>0.2</v>
      </c>
      <c r="BN42" s="72">
        <f>AO42</f>
        <v>0.2</v>
      </c>
      <c r="BP42" s="84">
        <f ca="1">K42/(K41+K42)*(K43-BP40)</f>
        <v>116.27</v>
      </c>
      <c r="BQ42" s="84">
        <f t="shared" ref="BQ42" ca="1" si="1507">L42/(L41+L42)*(L43-BQ40)</f>
        <v>132.10999999999999</v>
      </c>
      <c r="BR42" s="84">
        <f t="shared" ref="BR42" ca="1" si="1508">M42/(M41+M42)*(M43-BR40)</f>
        <v>153.35999999999996</v>
      </c>
      <c r="BS42" s="84">
        <f t="shared" ref="BS42" ca="1" si="1509">N42/(N41+N42)*(N43-BS40)</f>
        <v>176.77399999999997</v>
      </c>
      <c r="BT42" s="84">
        <f t="shared" ref="BT42" ca="1" si="1510">O42/(O41+O42)*(O43-BT40)</f>
        <v>202.85999999999996</v>
      </c>
      <c r="BU42" s="84">
        <f t="shared" ref="BU42" ca="1" si="1511">P42/(P41+P42)*(P43-BU40)</f>
        <v>231.93</v>
      </c>
      <c r="BV42" s="84">
        <f t="shared" ref="BV42" ca="1" si="1512">Q42/(Q41+Q42)*(Q43-BV40)</f>
        <v>245.90999999999997</v>
      </c>
      <c r="BW42" s="84">
        <f t="shared" ref="BW42" ca="1" si="1513">R42/(R41+R42)*(R43-BW40)</f>
        <v>260.39999999999998</v>
      </c>
      <c r="BX42" s="84">
        <f t="shared" ref="BX42" ca="1" si="1514">S42/(S41+S42)*(S43-BX40)</f>
        <v>275.46000000000004</v>
      </c>
      <c r="BY42" s="84">
        <f t="shared" ref="BY42" ca="1" si="1515">T42/(T41+T42)*(T43-BY40)</f>
        <v>291.08999999999997</v>
      </c>
      <c r="BZ42" s="84">
        <f t="shared" ref="BZ42" ca="1" si="1516">U42/(U41+U42)*(U43-BZ40)</f>
        <v>307.32</v>
      </c>
      <c r="CA42" s="84">
        <f t="shared" ref="CA42" ca="1" si="1517">V42/(V41+V42)*(V43-CA40)</f>
        <v>345.82400000000001</v>
      </c>
      <c r="CB42" s="84">
        <f t="shared" ref="CB42" ca="1" si="1518">W42/(W41+W42)*(W43-CB40)</f>
        <v>387.2940000000001</v>
      </c>
      <c r="CC42" s="84">
        <f t="shared" ref="CC42" ca="1" si="1519">X42/(X41+X42)*(X43-CC40)</f>
        <v>431.92800000000011</v>
      </c>
      <c r="CD42" s="84">
        <f t="shared" ref="CD42" ca="1" si="1520">Y42/(Y41+Y42)*(Y43-CD40)</f>
        <v>479.8640000000002</v>
      </c>
      <c r="CE42" s="84">
        <f t="shared" ref="CE42" ca="1" si="1521">Z42/(Z41+Z42)*(Z43-CE40)</f>
        <v>531.36000000000024</v>
      </c>
      <c r="CF42" s="84">
        <f t="shared" ref="CF42" ca="1" si="1522">AA42/(AA41+AA42)*(AA43-CF40)</f>
        <v>586.42855172488123</v>
      </c>
      <c r="CG42" s="84">
        <f t="shared" ref="CG42" ca="1" si="1523">AB42/(AB41+AB42)*(AB43-CG40)</f>
        <v>645.27268729221112</v>
      </c>
      <c r="CH42" s="84">
        <f t="shared" ref="CH42" ca="1" si="1524">AC42/(AC41+AC42)*(AC43-CH40)</f>
        <v>708.04497362332245</v>
      </c>
      <c r="CI42" s="84">
        <f t="shared" ref="CI42" ca="1" si="1525">AD42/(AD41+AD42)*(AD43-CI40)</f>
        <v>774.89712009300774</v>
      </c>
      <c r="CJ42" s="84">
        <f t="shared" ref="CJ42" ca="1" si="1526">AE42/(AE41+AE42)*(AE43-CJ40)</f>
        <v>839.91180641555275</v>
      </c>
      <c r="CK42" s="84">
        <f t="shared" ref="CK42" ca="1" si="1527">AF42/(AF41+AF42)*(AF43-CK40)</f>
        <v>880.27962349159793</v>
      </c>
      <c r="CL42" s="84">
        <f t="shared" ref="CL42" ca="1" si="1528">AG42/(AG41+AG42)*(AG43-CL40)</f>
        <v>1343.0844336796581</v>
      </c>
      <c r="CM42" s="84">
        <f t="shared" ref="CM42" ca="1" si="1529">AH42/(AH41+AH42)*(AH43-CM40)</f>
        <v>2147.6966774534494</v>
      </c>
      <c r="CN42" s="118" t="str">
        <f t="shared" ca="1" si="1392"/>
        <v xml:space="preserve">9.5 10.8 12.6 14.7 16.9 19.5 20.8 22.2 23.6 25.1 26.7 30 33.6 37.5 41.6 46.1 50.9 56 61.4 67.2 72.9 76.4 116.5 186.3 </v>
      </c>
      <c r="CO42" s="117">
        <f t="shared" ca="1" si="1499"/>
        <v>9.5</v>
      </c>
      <c r="CP42" s="117">
        <f t="shared" ca="1" si="1393"/>
        <v>10.8</v>
      </c>
      <c r="CQ42" s="117">
        <f t="shared" ca="1" si="1394"/>
        <v>12.6</v>
      </c>
      <c r="CR42" s="117">
        <f t="shared" ca="1" si="1395"/>
        <v>14.7</v>
      </c>
      <c r="CS42" s="117">
        <f t="shared" ca="1" si="1396"/>
        <v>16.899999999999999</v>
      </c>
      <c r="CT42" s="117">
        <f t="shared" ca="1" si="1397"/>
        <v>19.5</v>
      </c>
      <c r="CU42" s="117">
        <f t="shared" ca="1" si="1398"/>
        <v>20.8</v>
      </c>
      <c r="CV42" s="117">
        <f t="shared" ca="1" si="1399"/>
        <v>22.2</v>
      </c>
      <c r="CW42" s="117">
        <f t="shared" ca="1" si="1400"/>
        <v>23.6</v>
      </c>
      <c r="CX42" s="117">
        <f t="shared" ca="1" si="1401"/>
        <v>25.1</v>
      </c>
      <c r="CY42" s="117">
        <f t="shared" ca="1" si="1402"/>
        <v>26.7</v>
      </c>
      <c r="CZ42" s="117">
        <f t="shared" ca="1" si="1403"/>
        <v>30</v>
      </c>
      <c r="DA42" s="117">
        <f t="shared" ca="1" si="1404"/>
        <v>33.6</v>
      </c>
      <c r="DB42" s="117">
        <f t="shared" ca="1" si="1405"/>
        <v>37.5</v>
      </c>
      <c r="DC42" s="117">
        <f t="shared" ca="1" si="1406"/>
        <v>41.6</v>
      </c>
      <c r="DD42" s="117">
        <f t="shared" ca="1" si="1407"/>
        <v>46.1</v>
      </c>
      <c r="DE42" s="117">
        <f t="shared" ca="1" si="1500"/>
        <v>50.9</v>
      </c>
      <c r="DF42" s="117">
        <f t="shared" ca="1" si="1408"/>
        <v>56</v>
      </c>
      <c r="DG42" s="117">
        <f t="shared" ca="1" si="1409"/>
        <v>61.4</v>
      </c>
      <c r="DH42" s="117">
        <f t="shared" ca="1" si="1501"/>
        <v>67.2</v>
      </c>
      <c r="DI42" s="117">
        <f t="shared" ca="1" si="1410"/>
        <v>72.900000000000006</v>
      </c>
      <c r="DJ42" s="117">
        <f t="shared" ca="1" si="1502"/>
        <v>76.400000000000006</v>
      </c>
      <c r="DK42" s="117">
        <f t="shared" ca="1" si="1503"/>
        <v>116.5</v>
      </c>
      <c r="DL42" s="117">
        <f t="shared" ca="1" si="1411"/>
        <v>186.3</v>
      </c>
      <c r="DM42" s="118" t="str">
        <f t="shared" si="1412"/>
        <v xml:space="preserve">0.75 0.755 0.76 0.765 0.77 0.775 0.78 0.785 0.79 0.795 0.8 0.8 0.8 0.8 0.8 0.8 0.8 0.8 0.8 0.8 0.8 0.8 0.8 0.8 </v>
      </c>
      <c r="DN42" s="72">
        <f t="shared" si="1504"/>
        <v>0.75</v>
      </c>
      <c r="DO42" s="72">
        <f t="shared" si="1413"/>
        <v>0.755</v>
      </c>
      <c r="DP42" s="72">
        <f t="shared" si="1414"/>
        <v>0.76</v>
      </c>
      <c r="DQ42" s="72">
        <f t="shared" si="1415"/>
        <v>0.76500000000000001</v>
      </c>
      <c r="DR42" s="72">
        <f t="shared" si="1416"/>
        <v>0.77</v>
      </c>
      <c r="DS42" s="72">
        <f t="shared" si="1417"/>
        <v>0.77500000000000002</v>
      </c>
      <c r="DT42" s="72">
        <f t="shared" si="1418"/>
        <v>0.78</v>
      </c>
      <c r="DU42" s="72">
        <f t="shared" si="1419"/>
        <v>0.78500000000000003</v>
      </c>
      <c r="DV42" s="72">
        <f t="shared" si="1420"/>
        <v>0.79</v>
      </c>
      <c r="DW42" s="72">
        <f t="shared" si="1421"/>
        <v>0.79500000000000004</v>
      </c>
      <c r="DX42" s="72">
        <f t="shared" si="1422"/>
        <v>0.8</v>
      </c>
      <c r="DY42" s="72">
        <f t="shared" si="1423"/>
        <v>0.8</v>
      </c>
      <c r="DZ42" s="72">
        <f t="shared" si="1424"/>
        <v>0.8</v>
      </c>
      <c r="EA42" s="72">
        <f t="shared" si="1425"/>
        <v>0.8</v>
      </c>
      <c r="EB42" s="72">
        <f t="shared" si="1426"/>
        <v>0.8</v>
      </c>
      <c r="EC42" s="72">
        <f t="shared" si="1427"/>
        <v>0.8</v>
      </c>
      <c r="ED42" s="72">
        <f t="shared" si="1428"/>
        <v>0.8</v>
      </c>
      <c r="EE42" s="72">
        <f t="shared" si="1429"/>
        <v>0.8</v>
      </c>
      <c r="EF42" s="72">
        <f t="shared" si="1430"/>
        <v>0.8</v>
      </c>
      <c r="EG42" s="72">
        <f t="shared" si="1431"/>
        <v>0.8</v>
      </c>
      <c r="EH42" s="72">
        <f t="shared" si="1432"/>
        <v>0.8</v>
      </c>
      <c r="EI42" s="72">
        <f t="shared" si="1433"/>
        <v>0.8</v>
      </c>
      <c r="EJ42" s="72">
        <f t="shared" si="1434"/>
        <v>0.8</v>
      </c>
      <c r="EK42" s="72">
        <f t="shared" si="1435"/>
        <v>0.8</v>
      </c>
    </row>
    <row r="43" spans="1:141" x14ac:dyDescent="0.25">
      <c r="A43" t="str">
        <f t="shared" si="20"/>
        <v>CIV</v>
      </c>
      <c r="C43" t="str">
        <f>IFERROR(VLOOKUP(D43,'For model'!$B$4:$C$16,2,FALSE),C42)</f>
        <v>CIV</v>
      </c>
      <c r="D43" t="s">
        <v>537</v>
      </c>
      <c r="K43" s="84">
        <f ca="1">OFFSET(SourceData!$BS$4,MATCH(K39,SourceData!$BS$5:$BS$28,0),MATCH($C43,SourceData!$BT$3:$CF$3,0))</f>
        <v>5813.5</v>
      </c>
      <c r="L43" s="84">
        <f ca="1">OFFSET(SourceData!$BS$4,MATCH(L39,SourceData!$BS$5:$BS$28,0),MATCH($C43,SourceData!$BT$3:$CF$3,0))</f>
        <v>6005</v>
      </c>
      <c r="M43" s="84">
        <f ca="1">OFFSET(SourceData!$BS$4,MATCH(M39,SourceData!$BS$5:$BS$28,0),MATCH($C43,SourceData!$BT$3:$CF$3,0))</f>
        <v>6390</v>
      </c>
      <c r="N43" s="84">
        <f ca="1">OFFSET(SourceData!$BS$4,MATCH(N39,SourceData!$BS$5:$BS$28,0),MATCH($C43,SourceData!$BT$3:$CF$3,0))</f>
        <v>6799</v>
      </c>
      <c r="O43" s="84">
        <f ca="1">OFFSET(SourceData!$BS$4,MATCH(O39,SourceData!$BS$5:$BS$28,0),MATCH($C43,SourceData!$BT$3:$CF$3,0))</f>
        <v>7245</v>
      </c>
      <c r="P43" s="84">
        <f ca="1">OFFSET(SourceData!$BS$4,MATCH(P39,SourceData!$BS$5:$BS$28,0),MATCH($C43,SourceData!$BT$3:$CF$3,0))</f>
        <v>7731</v>
      </c>
      <c r="Q43" s="84">
        <f ca="1">OFFSET(SourceData!$BS$4,MATCH(Q39,SourceData!$BS$5:$BS$28,0),MATCH($C43,SourceData!$BT$3:$CF$3,0))</f>
        <v>8197</v>
      </c>
      <c r="R43" s="84">
        <f ca="1">OFFSET(SourceData!$BS$4,MATCH(R39,SourceData!$BS$5:$BS$28,0),MATCH($C43,SourceData!$BT$3:$CF$3,0))</f>
        <v>8680</v>
      </c>
      <c r="S43" s="84">
        <f ca="1">OFFSET(SourceData!$BS$4,MATCH(S39,SourceData!$BS$5:$BS$28,0),MATCH($C43,SourceData!$BT$3:$CF$3,0))</f>
        <v>9182</v>
      </c>
      <c r="T43" s="84">
        <f ca="1">OFFSET(SourceData!$BS$4,MATCH(T39,SourceData!$BS$5:$BS$28,0),MATCH($C43,SourceData!$BT$3:$CF$3,0))</f>
        <v>9703</v>
      </c>
      <c r="U43" s="84">
        <f ca="1">OFFSET(SourceData!$BS$4,MATCH(U39,SourceData!$BS$5:$BS$28,0),MATCH($C43,SourceData!$BT$3:$CF$3,0))</f>
        <v>10244</v>
      </c>
      <c r="V43" s="84">
        <f ca="1">OFFSET(SourceData!$BS$4,MATCH(V39,SourceData!$BS$5:$BS$28,0),MATCH($C43,SourceData!$BT$3:$CF$3,0))</f>
        <v>10807</v>
      </c>
      <c r="W43" s="84">
        <f ca="1">OFFSET(SourceData!$BS$4,MATCH(W39,SourceData!$BS$5:$BS$28,0),MATCH($C43,SourceData!$BT$3:$CF$3,0))</f>
        <v>11391</v>
      </c>
      <c r="X43" s="84">
        <f ca="1">OFFSET(SourceData!$BS$4,MATCH(X39,SourceData!$BS$5:$BS$28,0),MATCH($C43,SourceData!$BT$3:$CF$3,0))</f>
        <v>11998</v>
      </c>
      <c r="Y43" s="84">
        <f ca="1">OFFSET(SourceData!$BS$4,MATCH(Y39,SourceData!$BS$5:$BS$28,0),MATCH($C43,SourceData!$BT$3:$CF$3,0))</f>
        <v>12628</v>
      </c>
      <c r="Z43" s="84">
        <f ca="1">OFFSET(SourceData!$BS$4,MATCH(Z39,SourceData!$BS$5:$BS$28,0),MATCH($C43,SourceData!$BT$3:$CF$3,0))</f>
        <v>13284</v>
      </c>
      <c r="AA43" s="84">
        <f ca="1">OFFSET(SourceData!$BS$4,MATCH(AA39,SourceData!$BS$5:$BS$28,0),MATCH($C43,SourceData!$BT$3:$CF$3,0))</f>
        <v>13962.58456487812</v>
      </c>
      <c r="AB43" s="84">
        <f ca="1">OFFSET(SourceData!$BS$4,MATCH(AB39,SourceData!$BS$5:$BS$28,0),MATCH($C43,SourceData!$BT$3:$CF$3,0))</f>
        <v>14665.288347550248</v>
      </c>
      <c r="AC43" s="84">
        <f ca="1">OFFSET(SourceData!$BS$4,MATCH(AC39,SourceData!$BS$5:$BS$28,0),MATCH($C43,SourceData!$BT$3:$CF$3,0))</f>
        <v>15392.282035289614</v>
      </c>
      <c r="AD43" s="84">
        <f ca="1">OFFSET(SourceData!$BS$4,MATCH(AD39,SourceData!$BS$5:$BS$28,0),MATCH($C43,SourceData!$BT$3:$CF$3,0))</f>
        <v>16143.690001937654</v>
      </c>
      <c r="AE43" s="84">
        <f ca="1">OFFSET(SourceData!$BS$4,MATCH(AE39,SourceData!$BS$5:$BS$28,0),MATCH($C43,SourceData!$BT$3:$CF$3,0))</f>
        <v>16798.236128311055</v>
      </c>
      <c r="AF43" s="84">
        <f ca="1">OFFSET(SourceData!$BS$4,MATCH(AF39,SourceData!$BS$5:$BS$28,0),MATCH($C43,SourceData!$BT$3:$CF$3,0))</f>
        <v>17605.592469831954</v>
      </c>
      <c r="AG43" s="84">
        <f ca="1">OFFSET(SourceData!$BS$4,MATCH(AG39,SourceData!$BS$5:$BS$28,0),MATCH($C43,SourceData!$BT$3:$CF$3,0))</f>
        <v>26861.688673593158</v>
      </c>
      <c r="AH43" s="84">
        <f ca="1">OFFSET(SourceData!$BS$4,MATCH(AH39,SourceData!$BS$5:$BS$28,0),MATCH($C43,SourceData!$BT$3:$CF$3,0))</f>
        <v>42953.933549068985</v>
      </c>
      <c r="BP43" s="84">
        <f ca="1">SUM(BP40:BP42)</f>
        <v>5813.5</v>
      </c>
      <c r="BQ43" s="84">
        <f t="shared" ref="BQ43" ca="1" si="1530">SUM(BQ40:BQ42)</f>
        <v>6005</v>
      </c>
      <c r="BR43" s="84">
        <f t="shared" ref="BR43" ca="1" si="1531">SUM(BR40:BR42)</f>
        <v>6389.9999999999991</v>
      </c>
      <c r="BS43" s="84">
        <f t="shared" ref="BS43" ca="1" si="1532">SUM(BS40:BS42)</f>
        <v>6799</v>
      </c>
      <c r="BT43" s="84">
        <f t="shared" ref="BT43" ca="1" si="1533">SUM(BT40:BT42)</f>
        <v>7244.9999999999991</v>
      </c>
      <c r="BU43" s="84">
        <f t="shared" ref="BU43" ca="1" si="1534">SUM(BU40:BU42)</f>
        <v>7731</v>
      </c>
      <c r="BV43" s="84">
        <f t="shared" ref="BV43" ca="1" si="1535">SUM(BV40:BV42)</f>
        <v>8197</v>
      </c>
      <c r="BW43" s="84">
        <f t="shared" ref="BW43" ca="1" si="1536">SUM(BW40:BW42)</f>
        <v>8680</v>
      </c>
      <c r="BX43" s="84">
        <f t="shared" ref="BX43" ca="1" si="1537">SUM(BX40:BX42)</f>
        <v>9182</v>
      </c>
      <c r="BY43" s="84">
        <f t="shared" ref="BY43" ca="1" si="1538">SUM(BY40:BY42)</f>
        <v>9703</v>
      </c>
      <c r="BZ43" s="84">
        <f t="shared" ref="BZ43" ca="1" si="1539">SUM(BZ40:BZ42)</f>
        <v>10244</v>
      </c>
      <c r="CA43" s="84">
        <f t="shared" ref="CA43" ca="1" si="1540">SUM(CA40:CA42)</f>
        <v>10807</v>
      </c>
      <c r="CB43" s="84">
        <f t="shared" ref="CB43" ca="1" si="1541">SUM(CB40:CB42)</f>
        <v>11390.999999999998</v>
      </c>
      <c r="CC43" s="84">
        <f t="shared" ref="CC43" ca="1" si="1542">SUM(CC40:CC42)</f>
        <v>11998</v>
      </c>
      <c r="CD43" s="84">
        <f t="shared" ref="CD43" ca="1" si="1543">SUM(CD40:CD42)</f>
        <v>12628</v>
      </c>
      <c r="CE43" s="84">
        <f t="shared" ref="CE43" ca="1" si="1544">SUM(CE40:CE42)</f>
        <v>13284</v>
      </c>
      <c r="CF43" s="84">
        <f t="shared" ref="CF43" ca="1" si="1545">SUM(CF40:CF42)</f>
        <v>13962.584564878118</v>
      </c>
      <c r="CG43" s="84">
        <f t="shared" ref="CG43" ca="1" si="1546">SUM(CG40:CG42)</f>
        <v>14665.288347550246</v>
      </c>
      <c r="CH43" s="84">
        <f t="shared" ref="CH43" ca="1" si="1547">SUM(CH40:CH42)</f>
        <v>15392.282035289611</v>
      </c>
      <c r="CI43" s="84">
        <f t="shared" ref="CI43" ca="1" si="1548">SUM(CI40:CI42)</f>
        <v>16143.690001937654</v>
      </c>
      <c r="CJ43" s="84">
        <f t="shared" ref="CJ43" ca="1" si="1549">SUM(CJ40:CJ42)</f>
        <v>16798.236128311051</v>
      </c>
      <c r="CK43" s="84">
        <f t="shared" ref="CK43" ca="1" si="1550">SUM(CK40:CK42)</f>
        <v>17605.592469831954</v>
      </c>
      <c r="CL43" s="84">
        <f t="shared" ref="CL43" ca="1" si="1551">SUM(CL40:CL42)</f>
        <v>26861.688673593158</v>
      </c>
      <c r="CM43" s="84">
        <f t="shared" ref="CM43" ca="1" si="1552">SUM(CM40:CM42)</f>
        <v>42953.933549068985</v>
      </c>
    </row>
    <row r="44" spans="1:141" x14ac:dyDescent="0.25">
      <c r="A44" t="str">
        <f t="shared" si="20"/>
        <v>GHA</v>
      </c>
      <c r="C44" t="str">
        <f>IFERROR(VLOOKUP(D44,'For model'!$B$4:$C$16,2,FALSE),C43)</f>
        <v>GHA</v>
      </c>
      <c r="D44" s="92" t="s">
        <v>70</v>
      </c>
      <c r="E44">
        <v>2010</v>
      </c>
      <c r="F44">
        <v>2015</v>
      </c>
      <c r="G44">
        <v>2020</v>
      </c>
      <c r="H44">
        <v>2030</v>
      </c>
      <c r="I44">
        <f>I39</f>
        <v>2050</v>
      </c>
      <c r="K44">
        <v>2010</v>
      </c>
      <c r="L44">
        <f>K44+1</f>
        <v>2011</v>
      </c>
      <c r="M44">
        <f t="shared" ref="M44:U44" si="1553">L44+1</f>
        <v>2012</v>
      </c>
      <c r="N44">
        <f t="shared" si="1553"/>
        <v>2013</v>
      </c>
      <c r="O44">
        <f t="shared" si="1553"/>
        <v>2014</v>
      </c>
      <c r="P44">
        <f t="shared" si="1553"/>
        <v>2015</v>
      </c>
      <c r="Q44">
        <f t="shared" si="1553"/>
        <v>2016</v>
      </c>
      <c r="R44">
        <f t="shared" si="1553"/>
        <v>2017</v>
      </c>
      <c r="S44">
        <f t="shared" si="1553"/>
        <v>2018</v>
      </c>
      <c r="T44">
        <f t="shared" si="1553"/>
        <v>2019</v>
      </c>
      <c r="U44">
        <f t="shared" si="1553"/>
        <v>2020</v>
      </c>
      <c r="V44">
        <f t="shared" ref="V44:AF44" si="1554">U44+1</f>
        <v>2021</v>
      </c>
      <c r="W44">
        <f t="shared" si="1554"/>
        <v>2022</v>
      </c>
      <c r="X44">
        <f t="shared" si="1554"/>
        <v>2023</v>
      </c>
      <c r="Y44">
        <f t="shared" si="1554"/>
        <v>2024</v>
      </c>
      <c r="Z44">
        <f t="shared" si="1554"/>
        <v>2025</v>
      </c>
      <c r="AA44">
        <f t="shared" si="1554"/>
        <v>2026</v>
      </c>
      <c r="AB44">
        <f t="shared" si="1554"/>
        <v>2027</v>
      </c>
      <c r="AC44">
        <f t="shared" si="1554"/>
        <v>2028</v>
      </c>
      <c r="AD44">
        <f t="shared" si="1554"/>
        <v>2029</v>
      </c>
      <c r="AE44">
        <f t="shared" si="1554"/>
        <v>2030</v>
      </c>
      <c r="AF44">
        <f t="shared" si="1554"/>
        <v>2031</v>
      </c>
      <c r="AG44">
        <v>2040</v>
      </c>
      <c r="AH44">
        <v>2050</v>
      </c>
      <c r="AL44">
        <f>E44</f>
        <v>2010</v>
      </c>
      <c r="AM44">
        <f>G44</f>
        <v>2020</v>
      </c>
      <c r="AN44">
        <f>H44</f>
        <v>2030</v>
      </c>
      <c r="AO44">
        <f>I44</f>
        <v>2050</v>
      </c>
      <c r="AQ44">
        <v>2010</v>
      </c>
      <c r="AR44">
        <f>AQ44+1</f>
        <v>2011</v>
      </c>
      <c r="AS44">
        <f t="shared" ref="AS44:BL44" si="1555">AR44+1</f>
        <v>2012</v>
      </c>
      <c r="AT44">
        <f t="shared" si="1555"/>
        <v>2013</v>
      </c>
      <c r="AU44">
        <f t="shared" si="1555"/>
        <v>2014</v>
      </c>
      <c r="AV44">
        <f t="shared" si="1555"/>
        <v>2015</v>
      </c>
      <c r="AW44">
        <f t="shared" si="1555"/>
        <v>2016</v>
      </c>
      <c r="AX44">
        <f t="shared" si="1555"/>
        <v>2017</v>
      </c>
      <c r="AY44">
        <f t="shared" si="1555"/>
        <v>2018</v>
      </c>
      <c r="AZ44">
        <f t="shared" si="1555"/>
        <v>2019</v>
      </c>
      <c r="BA44">
        <f t="shared" si="1555"/>
        <v>2020</v>
      </c>
      <c r="BB44">
        <f t="shared" si="1555"/>
        <v>2021</v>
      </c>
      <c r="BC44">
        <f t="shared" si="1555"/>
        <v>2022</v>
      </c>
      <c r="BD44">
        <f t="shared" si="1555"/>
        <v>2023</v>
      </c>
      <c r="BE44">
        <f t="shared" si="1555"/>
        <v>2024</v>
      </c>
      <c r="BF44">
        <f t="shared" si="1555"/>
        <v>2025</v>
      </c>
      <c r="BG44">
        <f t="shared" si="1555"/>
        <v>2026</v>
      </c>
      <c r="BH44">
        <f t="shared" si="1555"/>
        <v>2027</v>
      </c>
      <c r="BI44">
        <f t="shared" si="1555"/>
        <v>2028</v>
      </c>
      <c r="BJ44">
        <f t="shared" si="1555"/>
        <v>2029</v>
      </c>
      <c r="BK44">
        <f t="shared" si="1555"/>
        <v>2030</v>
      </c>
      <c r="BL44">
        <f t="shared" si="1555"/>
        <v>2031</v>
      </c>
      <c r="BM44">
        <v>2040</v>
      </c>
      <c r="BN44">
        <v>2050</v>
      </c>
      <c r="BP44">
        <f>AQ44</f>
        <v>2010</v>
      </c>
      <c r="BQ44">
        <f t="shared" ref="BQ44" si="1556">AR44</f>
        <v>2011</v>
      </c>
      <c r="BR44">
        <f t="shared" ref="BR44" si="1557">AS44</f>
        <v>2012</v>
      </c>
      <c r="BS44">
        <f t="shared" ref="BS44" si="1558">AT44</f>
        <v>2013</v>
      </c>
      <c r="BT44">
        <f t="shared" ref="BT44" si="1559">AU44</f>
        <v>2014</v>
      </c>
      <c r="BU44">
        <f t="shared" ref="BU44" si="1560">AV44</f>
        <v>2015</v>
      </c>
      <c r="BV44">
        <f t="shared" ref="BV44" si="1561">AW44</f>
        <v>2016</v>
      </c>
      <c r="BW44">
        <f t="shared" ref="BW44" si="1562">AX44</f>
        <v>2017</v>
      </c>
      <c r="BX44">
        <f t="shared" ref="BX44" si="1563">AY44</f>
        <v>2018</v>
      </c>
      <c r="BY44">
        <f t="shared" ref="BY44" si="1564">AZ44</f>
        <v>2019</v>
      </c>
      <c r="BZ44">
        <f t="shared" ref="BZ44" si="1565">BA44</f>
        <v>2020</v>
      </c>
      <c r="CA44">
        <f t="shared" ref="CA44" si="1566">BB44</f>
        <v>2021</v>
      </c>
      <c r="CB44">
        <f t="shared" ref="CB44" si="1567">BC44</f>
        <v>2022</v>
      </c>
      <c r="CC44">
        <f t="shared" ref="CC44" si="1568">BD44</f>
        <v>2023</v>
      </c>
      <c r="CD44">
        <f t="shared" ref="CD44" si="1569">BE44</f>
        <v>2024</v>
      </c>
      <c r="CE44">
        <f t="shared" ref="CE44" si="1570">BF44</f>
        <v>2025</v>
      </c>
      <c r="CF44">
        <f t="shared" ref="CF44" si="1571">BG44</f>
        <v>2026</v>
      </c>
      <c r="CG44">
        <f t="shared" ref="CG44" si="1572">BH44</f>
        <v>2027</v>
      </c>
      <c r="CH44">
        <f t="shared" ref="CH44" si="1573">BI44</f>
        <v>2028</v>
      </c>
      <c r="CI44">
        <f t="shared" ref="CI44" si="1574">BJ44</f>
        <v>2029</v>
      </c>
      <c r="CJ44">
        <f t="shared" ref="CJ44" si="1575">BK44</f>
        <v>2030</v>
      </c>
      <c r="CK44">
        <f t="shared" ref="CK44" si="1576">BL44</f>
        <v>2031</v>
      </c>
      <c r="CL44">
        <f t="shared" ref="CL44" si="1577">BM44</f>
        <v>2040</v>
      </c>
      <c r="CM44">
        <f t="shared" ref="CM44" si="1578">BN44</f>
        <v>2050</v>
      </c>
      <c r="CO44">
        <f>BP44</f>
        <v>2010</v>
      </c>
      <c r="CP44">
        <f t="shared" ref="CP44" si="1579">BQ44</f>
        <v>2011</v>
      </c>
      <c r="CQ44">
        <f t="shared" ref="CQ44" si="1580">BR44</f>
        <v>2012</v>
      </c>
      <c r="CR44">
        <f t="shared" ref="CR44" si="1581">BS44</f>
        <v>2013</v>
      </c>
      <c r="CS44">
        <f t="shared" ref="CS44" si="1582">BT44</f>
        <v>2014</v>
      </c>
      <c r="CT44">
        <f t="shared" ref="CT44" si="1583">BU44</f>
        <v>2015</v>
      </c>
      <c r="CU44">
        <f t="shared" ref="CU44" si="1584">BV44</f>
        <v>2016</v>
      </c>
      <c r="CV44">
        <f t="shared" ref="CV44" si="1585">BW44</f>
        <v>2017</v>
      </c>
      <c r="CW44">
        <f t="shared" ref="CW44" si="1586">BX44</f>
        <v>2018</v>
      </c>
      <c r="CX44">
        <f t="shared" ref="CX44" si="1587">BY44</f>
        <v>2019</v>
      </c>
      <c r="CY44">
        <f t="shared" ref="CY44" si="1588">BZ44</f>
        <v>2020</v>
      </c>
      <c r="CZ44">
        <f t="shared" ref="CZ44" si="1589">CA44</f>
        <v>2021</v>
      </c>
      <c r="DA44">
        <f t="shared" ref="DA44" si="1590">CB44</f>
        <v>2022</v>
      </c>
      <c r="DB44">
        <f t="shared" ref="DB44" si="1591">CC44</f>
        <v>2023</v>
      </c>
      <c r="DC44">
        <f t="shared" ref="DC44" si="1592">CD44</f>
        <v>2024</v>
      </c>
      <c r="DD44">
        <f t="shared" ref="DD44" si="1593">CE44</f>
        <v>2025</v>
      </c>
      <c r="DE44">
        <f>CF44</f>
        <v>2026</v>
      </c>
      <c r="DF44">
        <f t="shared" ref="DF44" si="1594">CG44</f>
        <v>2027</v>
      </c>
      <c r="DG44">
        <f t="shared" ref="DG44" si="1595">CH44</f>
        <v>2028</v>
      </c>
      <c r="DH44">
        <f>CI44</f>
        <v>2029</v>
      </c>
      <c r="DI44">
        <f t="shared" ref="DI44" si="1596">CJ44</f>
        <v>2030</v>
      </c>
      <c r="DJ44">
        <f>CK44</f>
        <v>2031</v>
      </c>
      <c r="DK44">
        <f>CL44</f>
        <v>2040</v>
      </c>
      <c r="DL44">
        <f t="shared" ref="DL44" si="1597">CM44</f>
        <v>2050</v>
      </c>
    </row>
    <row r="45" spans="1:141" x14ac:dyDescent="0.25">
      <c r="A45" t="str">
        <f t="shared" si="20"/>
        <v>Heavy IndustryGHA</v>
      </c>
      <c r="B45" t="str">
        <f t="shared" ref="B45:B47" si="1598">B40</f>
        <v>Heavy Industry</v>
      </c>
      <c r="C45" t="str">
        <f>IFERROR(VLOOKUP(D45,'For model'!$B$4:$C$16,2,FALSE),C44)</f>
        <v>GHA</v>
      </c>
      <c r="D45" t="s">
        <v>535</v>
      </c>
      <c r="E45" s="72">
        <v>0.1</v>
      </c>
      <c r="F45" s="72">
        <v>0.2</v>
      </c>
      <c r="G45" s="72">
        <v>0.3</v>
      </c>
      <c r="H45" s="72">
        <v>0.35</v>
      </c>
      <c r="I45" s="72">
        <v>0.4</v>
      </c>
      <c r="K45" s="72">
        <f>E45</f>
        <v>0.1</v>
      </c>
      <c r="L45" s="72">
        <f>($P45-$K45)/($P$4-$K$4)+K45</f>
        <v>0.12000000000000001</v>
      </c>
      <c r="M45" s="72">
        <f t="shared" ref="M45:O45" si="1599">($P45-$K45)/($P$4-$K$4)+L45</f>
        <v>0.14000000000000001</v>
      </c>
      <c r="N45" s="72">
        <f t="shared" si="1599"/>
        <v>0.16</v>
      </c>
      <c r="O45" s="72">
        <f t="shared" si="1599"/>
        <v>0.18</v>
      </c>
      <c r="P45" s="72">
        <f>F45</f>
        <v>0.2</v>
      </c>
      <c r="Q45" s="72">
        <f>($U45-$P45)/($U$4-$P$4)+P45</f>
        <v>0.22</v>
      </c>
      <c r="R45" s="72">
        <f t="shared" ref="R45:T45" si="1600">($U45-$P45)/($U$4-$P$4)+Q45</f>
        <v>0.24</v>
      </c>
      <c r="S45" s="72">
        <f t="shared" si="1600"/>
        <v>0.26</v>
      </c>
      <c r="T45" s="72">
        <f t="shared" si="1600"/>
        <v>0.28000000000000003</v>
      </c>
      <c r="U45" s="72">
        <f>G45</f>
        <v>0.3</v>
      </c>
      <c r="V45" s="72">
        <f>(AE45-U45)/(AE$4-U$4)+U45</f>
        <v>0.30499999999999999</v>
      </c>
      <c r="W45" s="72">
        <f>(AE45-U45)/(AE$4-U$4)+V45</f>
        <v>0.31</v>
      </c>
      <c r="X45" s="72">
        <f>(AE45-U45)/(AE$4-U$4)+W45</f>
        <v>0.315</v>
      </c>
      <c r="Y45" s="72">
        <f>(AE45-U45)/(AE$4-U$4)+X45</f>
        <v>0.32</v>
      </c>
      <c r="Z45" s="72">
        <f>(AE45-U45)/(AE$4-U$4)+Y45</f>
        <v>0.32500000000000001</v>
      </c>
      <c r="AA45" s="72">
        <f>(AE45-U45)/(AE$4-U$4)+Z45</f>
        <v>0.33</v>
      </c>
      <c r="AB45" s="72">
        <f>(AE45-U45)/(AE$4-U$4)+AA45</f>
        <v>0.33500000000000002</v>
      </c>
      <c r="AC45" s="72">
        <f>(AE45-U45)/(AE$4-U$4)+AB45</f>
        <v>0.34</v>
      </c>
      <c r="AD45" s="72">
        <f>(AE45-U45)/(AE$4-U$4)+AC45</f>
        <v>0.34500000000000003</v>
      </c>
      <c r="AE45" s="72">
        <f>H45</f>
        <v>0.35</v>
      </c>
      <c r="AF45" s="72">
        <f>(AH45-AE45)/(AH$4-AE$4)+AE45</f>
        <v>0.35249999999999998</v>
      </c>
      <c r="AG45" s="72">
        <f>(AE45+AH45)/2</f>
        <v>0.375</v>
      </c>
      <c r="AH45" s="72">
        <f>I45</f>
        <v>0.4</v>
      </c>
      <c r="AJ45" s="115">
        <f ca="1">SUMIF(SourceData!$Y$3:$AK$3,$C44,SourceData!$Y$1:$AK$1)</f>
        <v>0.22099999999999997</v>
      </c>
      <c r="AK45" s="72">
        <v>0.05</v>
      </c>
      <c r="AL45" s="94">
        <v>0.02</v>
      </c>
      <c r="AM45" s="72">
        <f>AL45</f>
        <v>0.02</v>
      </c>
      <c r="AN45" s="72">
        <v>0</v>
      </c>
      <c r="AO45" s="72">
        <v>0</v>
      </c>
      <c r="AP45" s="118" t="str">
        <f>AQ45&amp;" "&amp;AR45&amp;" "&amp;AS45&amp;" "&amp;AT45&amp;" "&amp;AU45&amp;" "&amp;AV45&amp;" "&amp;AW45&amp;" "&amp;AX45&amp;" "&amp;AY45&amp;" "&amp;AZ45&amp;" "&amp;BA45&amp;" "&amp;BB45&amp;" "&amp;BC45&amp;" "&amp;BD45&amp;" "&amp;BE45&amp;" "&amp;BF45&amp;" "&amp;BG45&amp;" "&amp;BH45&amp;" "&amp;BI45&amp;" "&amp;BJ45&amp;" "&amp;BK45&amp;" "&amp;BL45&amp;" "&amp;BM45&amp;" "&amp;BN45&amp;" "</f>
        <v xml:space="preserve">0.02 0.02 0.02 0.02 0.02 0.02 0.02 0.02 0.02 0.02 0.02 0.018 0.016 0.014 0.012 0.01 0.008 0.006 0.004 0.002 0 0 0 0 </v>
      </c>
      <c r="AQ45" s="72">
        <f>AL45</f>
        <v>0.02</v>
      </c>
      <c r="AR45" s="72">
        <f>(BA45-AQ45)/(BA$4-AQ$4)+AQ45</f>
        <v>0.02</v>
      </c>
      <c r="AS45" s="72">
        <f>(BA45-AQ45)/(BA$4-AQ$4)+AR45</f>
        <v>0.02</v>
      </c>
      <c r="AT45" s="72">
        <f>(BA45-AQ45)/(BA$4-AQ$4)+AS45</f>
        <v>0.02</v>
      </c>
      <c r="AU45" s="72">
        <f>(BA45-AQ45)/(BA$4-AQ$4)+AT45</f>
        <v>0.02</v>
      </c>
      <c r="AV45" s="72">
        <f>(BA45-AQ45)/(BA$4-AQ$4)+AU45</f>
        <v>0.02</v>
      </c>
      <c r="AW45" s="72">
        <f>(BA45-AQ45)/(BA$4-AQ$4)+AV45</f>
        <v>0.02</v>
      </c>
      <c r="AX45" s="72">
        <f>(BA45-AQ45)/(BA$4-AQ$4)+AW45</f>
        <v>0.02</v>
      </c>
      <c r="AY45" s="72">
        <f>(BA45-AQ45)/(BA$4-AQ$4)+AX45</f>
        <v>0.02</v>
      </c>
      <c r="AZ45" s="72">
        <f>(BA45-AQ45)/(BA$4-AQ$4)+AY45</f>
        <v>0.02</v>
      </c>
      <c r="BA45" s="72">
        <f>AM45</f>
        <v>0.02</v>
      </c>
      <c r="BB45" s="72">
        <f>(BK45-BA45)/(BK$4-BA$4)+BA45</f>
        <v>1.8000000000000002E-2</v>
      </c>
      <c r="BC45" s="72">
        <f>(BK45-BA45)/(BK$4-BA$4)+BB45</f>
        <v>1.6E-2</v>
      </c>
      <c r="BD45" s="72">
        <f>(BK45-BA45)/(BK$4-BA$4)+BC45</f>
        <v>1.4E-2</v>
      </c>
      <c r="BE45" s="72">
        <f>(BK45-BA45)/(BK$4-BA$4)+BD45</f>
        <v>1.2E-2</v>
      </c>
      <c r="BF45" s="72">
        <f>(BK45-BA45)/(BK$4-BA$4)+BE45</f>
        <v>0.01</v>
      </c>
      <c r="BG45" s="72">
        <f>(BK45-BA45)/(BK$4-BA$4)+BF45</f>
        <v>8.0000000000000002E-3</v>
      </c>
      <c r="BH45" s="72">
        <f>(BK45-BA45)/(BK$4-BA$4)+BG45</f>
        <v>6.0000000000000001E-3</v>
      </c>
      <c r="BI45" s="72">
        <f>(BK45-BA45)/(BK$4-BA$4)+BH45</f>
        <v>4.0000000000000001E-3</v>
      </c>
      <c r="BJ45" s="72">
        <f>(BK45-BA45)/(BK$4-BA$4)+BI45</f>
        <v>2E-3</v>
      </c>
      <c r="BK45" s="72">
        <f>AN45</f>
        <v>0</v>
      </c>
      <c r="BL45" s="72">
        <f>(BN45-BK45)/(BN$4-BK$4)+BK45</f>
        <v>0</v>
      </c>
      <c r="BM45" s="72">
        <f>(BK45+BN45)/2</f>
        <v>0</v>
      </c>
      <c r="BN45" s="72">
        <f>AO45</f>
        <v>0</v>
      </c>
      <c r="BO45">
        <f>SUMIF(SourceData!$BD$3:$BP$3,$C44,SourceData!$BD$1:$BP$1)</f>
        <v>0</v>
      </c>
      <c r="BP45" s="84">
        <f ca="1">IF($BO45,OFFSET(SourceData!$BC$4,MATCH(BP44,SourceData!$BC$5:$BC$28,0),MATCH($C48,SourceData!$BD$3:$BP$3,0)),K45*K48)</f>
        <v>902.2</v>
      </c>
      <c r="BQ45" s="84">
        <f ca="1">IF($BO45,OFFSET(SourceData!$BC$4,MATCH(BQ44,SourceData!$BC$5:$BC$28,0),MATCH($C48,SourceData!$BD$3:$BP$3,0)),L45*L48)</f>
        <v>1332.8400000000001</v>
      </c>
      <c r="BR45" s="84">
        <f ca="1">IF($BO45,OFFSET(SourceData!$BC$4,MATCH(BR44,SourceData!$BC$5:$BC$28,0),MATCH($C48,SourceData!$BD$3:$BP$3,0)),M45*M48)</f>
        <v>1642.9</v>
      </c>
      <c r="BS45" s="84">
        <f ca="1">IF($BO45,OFFSET(SourceData!$BC$4,MATCH(BS44,SourceData!$BC$5:$BC$28,0),MATCH($C48,SourceData!$BD$3:$BP$3,0)),N45*N48)</f>
        <v>2090.2400000000002</v>
      </c>
      <c r="BT45" s="84">
        <f ca="1">IF($BO45,OFFSET(SourceData!$BC$4,MATCH(BT44,SourceData!$BC$5:$BC$28,0),MATCH($C48,SourceData!$BD$3:$BP$3,0)),O45*O48)</f>
        <v>2472.2999999999997</v>
      </c>
      <c r="BU45" s="84">
        <f ca="1">IF($BO45,OFFSET(SourceData!$BC$4,MATCH(BU44,SourceData!$BC$5:$BC$28,0),MATCH($C48,SourceData!$BD$3:$BP$3,0)),P45*P48)</f>
        <v>2891</v>
      </c>
      <c r="BV45" s="84">
        <f ca="1">IF($BO45,OFFSET(SourceData!$BC$4,MATCH(BV44,SourceData!$BC$5:$BC$28,0),MATCH($C48,SourceData!$BD$3:$BP$3,0)),Q45*Q48)</f>
        <v>3349.06</v>
      </c>
      <c r="BW45" s="84">
        <f ca="1">IF($BO45,OFFSET(SourceData!$BC$4,MATCH(BW44,SourceData!$BC$5:$BC$28,0),MATCH($C48,SourceData!$BD$3:$BP$3,0)),R45*R48)</f>
        <v>3849.8399999999997</v>
      </c>
      <c r="BX45" s="84">
        <f ca="1">IF($BO45,OFFSET(SourceData!$BC$4,MATCH(BX44,SourceData!$BC$5:$BC$28,0),MATCH($C48,SourceData!$BD$3:$BP$3,0)),S45*S48)</f>
        <v>4397.12</v>
      </c>
      <c r="BY45" s="84">
        <f ca="1">IF($BO45,OFFSET(SourceData!$BC$4,MATCH(BY44,SourceData!$BC$5:$BC$28,0),MATCH($C48,SourceData!$BD$3:$BP$3,0)),T45*T48)</f>
        <v>4995.2000000000007</v>
      </c>
      <c r="BZ45" s="84">
        <f ca="1">IF($BO45,OFFSET(SourceData!$BC$4,MATCH(BZ44,SourceData!$BC$5:$BC$28,0),MATCH($C48,SourceData!$BD$3:$BP$3,0)),U45*U48)</f>
        <v>5648.4</v>
      </c>
      <c r="CA45" s="84">
        <f ca="1">IF($BO45,OFFSET(SourceData!$BC$4,MATCH(CA44,SourceData!$BC$5:$BC$28,0),MATCH($C48,SourceData!$BD$3:$BP$3,0)),V45*V48)</f>
        <v>6063.0950000000003</v>
      </c>
      <c r="CB45" s="84">
        <f ca="1">IF($BO45,OFFSET(SourceData!$BC$4,MATCH(CB44,SourceData!$BC$5:$BC$28,0),MATCH($C48,SourceData!$BD$3:$BP$3,0)),W45*W48)</f>
        <v>6509.38</v>
      </c>
      <c r="CC45" s="84">
        <f ca="1">IF($BO45,OFFSET(SourceData!$BC$4,MATCH(CC44,SourceData!$BC$5:$BC$28,0),MATCH($C48,SourceData!$BD$3:$BP$3,0)),X45*X48)</f>
        <v>6989.5349999999999</v>
      </c>
      <c r="CD45" s="84">
        <f ca="1">IF($BO45,OFFSET(SourceData!$BC$4,MATCH(CD44,SourceData!$BC$5:$BC$28,0),MATCH($C48,SourceData!$BD$3:$BP$3,0)),Y45*Y48)</f>
        <v>7505.92</v>
      </c>
      <c r="CE45" s="84">
        <f ca="1">IF($BO45,OFFSET(SourceData!$BC$4,MATCH(CE44,SourceData!$BC$5:$BC$28,0),MATCH($C48,SourceData!$BD$3:$BP$3,0)),Z45*Z48)</f>
        <v>8060.9750000000004</v>
      </c>
      <c r="CF45" s="84">
        <f ca="1">IF($BO45,OFFSET(SourceData!$BC$4,MATCH(CF44,SourceData!$BC$5:$BC$28,0),MATCH($C48,SourceData!$BD$3:$BP$3,0)),AA45*AA48)</f>
        <v>8658.3158923461378</v>
      </c>
      <c r="CG45" s="84">
        <f ca="1">IF($BO45,OFFSET(SourceData!$BC$4,MATCH(CG44,SourceData!$BC$5:$BC$28,0),MATCH($C48,SourceData!$BD$3:$BP$3,0)),AB45*AB48)</f>
        <v>9300.8962379380137</v>
      </c>
      <c r="CH45" s="84">
        <f ca="1">IF($BO45,OFFSET(SourceData!$BC$4,MATCH(CH44,SourceData!$BC$5:$BC$28,0),MATCH($C48,SourceData!$BD$3:$BP$3,0)),AC45*AC48)</f>
        <v>9992.160142722405</v>
      </c>
      <c r="CI45" s="84">
        <f ca="1">IF($BO45,OFFSET(SourceData!$BC$4,MATCH(CI44,SourceData!$BC$5:$BC$28,0),MATCH($C48,SourceData!$BD$3:$BP$3,0)),AD45*AD48)</f>
        <v>10735.813186009489</v>
      </c>
      <c r="CJ45" s="84">
        <f ca="1">IF($BO45,OFFSET(SourceData!$BC$4,MATCH(CJ44,SourceData!$BC$5:$BC$28,0),MATCH($C48,SourceData!$BD$3:$BP$3,0)),AE45*AE48)</f>
        <v>11544.770649428279</v>
      </c>
      <c r="CK45" s="84">
        <f ca="1">IF($BO45,OFFSET(SourceData!$BC$4,MATCH(CK44,SourceData!$BC$5:$BC$28,0),MATCH($C48,SourceData!$BD$3:$BP$3,0)),AF45*AF48)</f>
        <v>12317.842342186239</v>
      </c>
      <c r="CL45" s="84">
        <f ca="1">IF($BO45,OFFSET(SourceData!$BC$4,MATCH(CL44,SourceData!$BC$5:$BC$28,0),MATCH($C48,SourceData!$BD$3:$BP$3,0)),AG45*AG48)</f>
        <v>22198.604420604202</v>
      </c>
      <c r="CM45" s="84">
        <f ca="1">IF($BO45,OFFSET(SourceData!$BC$4,MATCH(CM44,SourceData!$BC$5:$BC$28,0),MATCH($C48,SourceData!$BD$3:$BP$3,0)),AH45*AH48)</f>
        <v>43023.858369617694</v>
      </c>
      <c r="CN45" s="118" t="str">
        <f t="shared" ref="CN45:CN47" ca="1" si="1601">CO45&amp;" "&amp;CP45&amp;" "&amp;CQ45&amp;" "&amp;CR45&amp;" "&amp;CS45&amp;" "&amp;CT45&amp;" "&amp;CU45&amp;" "&amp;CV45&amp;" "&amp;CW45&amp;" "&amp;CX45&amp;" "&amp;CY45&amp;" "&amp;CZ45&amp;" "&amp;DA45&amp;" "&amp;DB45&amp;" "&amp;DC45&amp;" "&amp;DD45&amp;" "&amp;DE45&amp;" "&amp;DF45&amp;" "&amp;DG45&amp;" "&amp;DH45&amp;" "&amp;DI45&amp;" "&amp;DJ45&amp;" "&amp;DK45&amp;" "&amp;DL45&amp;" "</f>
        <v xml:space="preserve">95.9 141.7 174.6 222.1 262.8 307.3 355.9 409.2 467.3 530.9 600.3 645.7 694.6 747.4 804.2 865.5 931.5 1002.6 1079.3 1161.9 1252 1335.8 2407.4 4665.8 </v>
      </c>
      <c r="CO45" s="117">
        <f ca="1">ROUND(BP45*(1-AQ45)*(1-$AK45)/8.76,1)</f>
        <v>95.9</v>
      </c>
      <c r="CP45" s="117">
        <f t="shared" ref="CP45:CP47" ca="1" si="1602">ROUND(BQ45*(1-AR45)*(1-$AK45)/8.76,1)</f>
        <v>141.69999999999999</v>
      </c>
      <c r="CQ45" s="117">
        <f t="shared" ref="CQ45:CQ47" ca="1" si="1603">ROUND(BR45*(1-AS45)*(1-$AK45)/8.76,1)</f>
        <v>174.6</v>
      </c>
      <c r="CR45" s="117">
        <f t="shared" ref="CR45:CR47" ca="1" si="1604">ROUND(BS45*(1-AT45)*(1-$AK45)/8.76,1)</f>
        <v>222.1</v>
      </c>
      <c r="CS45" s="117">
        <f t="shared" ref="CS45:CS47" ca="1" si="1605">ROUND(BT45*(1-AU45)*(1-$AK45)/8.76,1)</f>
        <v>262.8</v>
      </c>
      <c r="CT45" s="117">
        <f t="shared" ref="CT45:CT47" ca="1" si="1606">ROUND(BU45*(1-AV45)*(1-$AK45)/8.76,1)</f>
        <v>307.3</v>
      </c>
      <c r="CU45" s="117">
        <f t="shared" ref="CU45:CU47" ca="1" si="1607">ROUND(BV45*(1-AW45)*(1-$AK45)/8.76,1)</f>
        <v>355.9</v>
      </c>
      <c r="CV45" s="117">
        <f t="shared" ref="CV45:CV47" ca="1" si="1608">ROUND(BW45*(1-AX45)*(1-$AK45)/8.76,1)</f>
        <v>409.2</v>
      </c>
      <c r="CW45" s="117">
        <f t="shared" ref="CW45:CW47" ca="1" si="1609">ROUND(BX45*(1-AY45)*(1-$AK45)/8.76,1)</f>
        <v>467.3</v>
      </c>
      <c r="CX45" s="117">
        <f t="shared" ref="CX45:CX47" ca="1" si="1610">ROUND(BY45*(1-AZ45)*(1-$AK45)/8.76,1)</f>
        <v>530.9</v>
      </c>
      <c r="CY45" s="117">
        <f t="shared" ref="CY45:CY47" ca="1" si="1611">ROUND(BZ45*(1-BA45)*(1-$AK45)/8.76,1)</f>
        <v>600.29999999999995</v>
      </c>
      <c r="CZ45" s="117">
        <f t="shared" ref="CZ45:CZ47" ca="1" si="1612">ROUND(CA45*(1-BB45)*(1-$AK45)/8.76,1)</f>
        <v>645.70000000000005</v>
      </c>
      <c r="DA45" s="117">
        <f t="shared" ref="DA45:DA47" ca="1" si="1613">ROUND(CB45*(1-BC45)*(1-$AK45)/8.76,1)</f>
        <v>694.6</v>
      </c>
      <c r="DB45" s="117">
        <f t="shared" ref="DB45:DB47" ca="1" si="1614">ROUND(CC45*(1-BD45)*(1-$AK45)/8.76,1)</f>
        <v>747.4</v>
      </c>
      <c r="DC45" s="117">
        <f t="shared" ref="DC45:DC47" ca="1" si="1615">ROUND(CD45*(1-BE45)*(1-$AK45)/8.76,1)</f>
        <v>804.2</v>
      </c>
      <c r="DD45" s="117">
        <f t="shared" ref="DD45:DD47" ca="1" si="1616">ROUND(CE45*(1-BF45)*(1-$AK45)/8.76,1)</f>
        <v>865.5</v>
      </c>
      <c r="DE45" s="117">
        <f ca="1">ROUND(CF45*(1-BG45)*(1-$AK45)/8.76,1)</f>
        <v>931.5</v>
      </c>
      <c r="DF45" s="117">
        <f t="shared" ref="DF45:DF47" ca="1" si="1617">ROUND(CG45*(1-BH45)*(1-$AK45)/8.76,1)</f>
        <v>1002.6</v>
      </c>
      <c r="DG45" s="117">
        <f t="shared" ref="DG45:DG47" ca="1" si="1618">ROUND(CH45*(1-BI45)*(1-$AK45)/8.76,1)</f>
        <v>1079.3</v>
      </c>
      <c r="DH45" s="117">
        <f ca="1">ROUND(CI45*(1-BJ45)*(1-$AK45)/8.76,1)</f>
        <v>1161.9000000000001</v>
      </c>
      <c r="DI45" s="117">
        <f t="shared" ref="DI45:DI47" ca="1" si="1619">ROUND(CJ45*(1-BK45)*(1-$AK45)/8.76,1)</f>
        <v>1252</v>
      </c>
      <c r="DJ45" s="117">
        <f ca="1">ROUND(CK45*(1-BL45)*(1-$AK45)/8.76,1)</f>
        <v>1335.8</v>
      </c>
      <c r="DK45" s="117">
        <f ca="1">ROUND(CL45*(1-BM45)*(1-$AK45)/8.76,1)</f>
        <v>2407.4</v>
      </c>
      <c r="DL45" s="117">
        <f t="shared" ref="DL45:DL47" ca="1" si="1620">ROUND(CM45*(1-BN45)*(1-$AK45)/8.76,1)</f>
        <v>4665.8</v>
      </c>
      <c r="DM45" s="118" t="str">
        <f t="shared" ref="DM45:DM47" si="1621">DN45&amp;" "&amp;DO45&amp;" "&amp;DP45&amp;" "&amp;DQ45&amp;" "&amp;DR45&amp;" "&amp;DS45&amp;" "&amp;DT45&amp;" "&amp;DU45&amp;" "&amp;DV45&amp;" "&amp;DW45&amp;" "&amp;DX45&amp;" "&amp;DY45&amp;" "&amp;DZ45&amp;" "&amp;EA45&amp;" "&amp;EB45&amp;" "&amp;EC45&amp;" "&amp;ED45&amp;" "&amp;EE45&amp;" "&amp;EF45&amp;" "&amp;EG45&amp;" "&amp;EH45&amp;" "&amp;EI45&amp;" "&amp;EJ45&amp;" "&amp;EK45&amp;" "</f>
        <v xml:space="preserve">0.98 0.98 0.98 0.98 0.98 0.98 0.98 0.98 0.98 0.98 0.98 0.982 0.984 0.986 0.988 0.99 0.992 0.994 0.996 0.998 1 1 1 1 </v>
      </c>
      <c r="DN45" s="72">
        <f>1-AQ45</f>
        <v>0.98</v>
      </c>
      <c r="DO45" s="72">
        <f t="shared" ref="DO45:DO47" si="1622">1-AR45</f>
        <v>0.98</v>
      </c>
      <c r="DP45" s="72">
        <f t="shared" ref="DP45:DP47" si="1623">1-AS45</f>
        <v>0.98</v>
      </c>
      <c r="DQ45" s="72">
        <f t="shared" ref="DQ45:DQ47" si="1624">1-AT45</f>
        <v>0.98</v>
      </c>
      <c r="DR45" s="72">
        <f t="shared" ref="DR45:DR47" si="1625">1-AU45</f>
        <v>0.98</v>
      </c>
      <c r="DS45" s="72">
        <f t="shared" ref="DS45:DS47" si="1626">1-AV45</f>
        <v>0.98</v>
      </c>
      <c r="DT45" s="72">
        <f t="shared" ref="DT45:DT47" si="1627">1-AW45</f>
        <v>0.98</v>
      </c>
      <c r="DU45" s="72">
        <f t="shared" ref="DU45:DU47" si="1628">1-AX45</f>
        <v>0.98</v>
      </c>
      <c r="DV45" s="72">
        <f t="shared" ref="DV45:DV47" si="1629">1-AY45</f>
        <v>0.98</v>
      </c>
      <c r="DW45" s="72">
        <f t="shared" ref="DW45:DW47" si="1630">1-AZ45</f>
        <v>0.98</v>
      </c>
      <c r="DX45" s="72">
        <f t="shared" ref="DX45:DX47" si="1631">1-BA45</f>
        <v>0.98</v>
      </c>
      <c r="DY45" s="72">
        <f t="shared" ref="DY45:DY47" si="1632">1-BB45</f>
        <v>0.98199999999999998</v>
      </c>
      <c r="DZ45" s="72">
        <f t="shared" ref="DZ45:DZ47" si="1633">1-BC45</f>
        <v>0.98399999999999999</v>
      </c>
      <c r="EA45" s="72">
        <f t="shared" ref="EA45:EA47" si="1634">1-BD45</f>
        <v>0.98599999999999999</v>
      </c>
      <c r="EB45" s="72">
        <f t="shared" ref="EB45:EB47" si="1635">1-BE45</f>
        <v>0.98799999999999999</v>
      </c>
      <c r="EC45" s="72">
        <f t="shared" ref="EC45:EC47" si="1636">1-BF45</f>
        <v>0.99</v>
      </c>
      <c r="ED45" s="72">
        <f t="shared" ref="ED45:ED47" si="1637">1-BG45</f>
        <v>0.99199999999999999</v>
      </c>
      <c r="EE45" s="72">
        <f t="shared" ref="EE45:EE47" si="1638">1-BH45</f>
        <v>0.99399999999999999</v>
      </c>
      <c r="EF45" s="72">
        <f t="shared" ref="EF45:EF47" si="1639">1-BI45</f>
        <v>0.996</v>
      </c>
      <c r="EG45" s="72">
        <f t="shared" ref="EG45:EG47" si="1640">1-BJ45</f>
        <v>0.998</v>
      </c>
      <c r="EH45" s="72">
        <f t="shared" ref="EH45:EH47" si="1641">1-BK45</f>
        <v>1</v>
      </c>
      <c r="EI45" s="72">
        <f t="shared" ref="EI45:EI47" si="1642">1-BL45</f>
        <v>1</v>
      </c>
      <c r="EJ45" s="72">
        <f t="shared" ref="EJ45:EJ47" si="1643">1-BM45</f>
        <v>1</v>
      </c>
      <c r="EK45" s="72">
        <f t="shared" ref="EK45:EK47" si="1644">1-BN45</f>
        <v>1</v>
      </c>
    </row>
    <row r="46" spans="1:141" x14ac:dyDescent="0.25">
      <c r="A46" t="str">
        <f t="shared" si="20"/>
        <v>UrbanGHA</v>
      </c>
      <c r="B46" t="str">
        <f t="shared" si="1598"/>
        <v>Urban</v>
      </c>
      <c r="C46" t="str">
        <f>IFERROR(VLOOKUP(D46,'For model'!$B$4:$C$16,2,FALSE),C45)</f>
        <v>GHA</v>
      </c>
      <c r="D46" t="s">
        <v>536</v>
      </c>
      <c r="E46" s="72">
        <f>1-E45-E47</f>
        <v>0.88</v>
      </c>
      <c r="F46" s="72">
        <f>1-F45-F47</f>
        <v>0.77</v>
      </c>
      <c r="G46" s="72">
        <f t="shared" ref="G46:H46" si="1645">1-G45-G47</f>
        <v>0.66999999999999993</v>
      </c>
      <c r="H46" s="72">
        <f t="shared" si="1645"/>
        <v>0.6</v>
      </c>
      <c r="I46" s="72">
        <f t="shared" ref="I46" si="1646">1-I45-I47</f>
        <v>0.54999999999999993</v>
      </c>
      <c r="K46" s="72">
        <f t="shared" ref="K46:K47" si="1647">E46</f>
        <v>0.88</v>
      </c>
      <c r="L46" s="72">
        <f t="shared" ref="L46:O46" si="1648">($P46-$K46)/($P$4-$K$4)+K46</f>
        <v>0.85799999999999998</v>
      </c>
      <c r="M46" s="72">
        <f t="shared" si="1648"/>
        <v>0.83599999999999997</v>
      </c>
      <c r="N46" s="72">
        <f t="shared" si="1648"/>
        <v>0.81399999999999995</v>
      </c>
      <c r="O46" s="72">
        <f t="shared" si="1648"/>
        <v>0.79199999999999993</v>
      </c>
      <c r="P46" s="72">
        <f t="shared" ref="P46:P47" si="1649">F46</f>
        <v>0.77</v>
      </c>
      <c r="Q46" s="72">
        <f t="shared" ref="Q46:T46" si="1650">($U46-$P46)/($U$4-$P$4)+P46</f>
        <v>0.75</v>
      </c>
      <c r="R46" s="72">
        <f t="shared" si="1650"/>
        <v>0.73</v>
      </c>
      <c r="S46" s="72">
        <f t="shared" si="1650"/>
        <v>0.71</v>
      </c>
      <c r="T46" s="72">
        <f t="shared" si="1650"/>
        <v>0.69</v>
      </c>
      <c r="U46" s="72">
        <f t="shared" ref="U46:U47" si="1651">G46</f>
        <v>0.66999999999999993</v>
      </c>
      <c r="V46" s="72">
        <f t="shared" ref="V46:V47" si="1652">(AE46-U46)/(AE$4-U$4)+U46</f>
        <v>0.66299999999999992</v>
      </c>
      <c r="W46" s="72">
        <f t="shared" ref="W46:W47" si="1653">(AE46-U46)/(AE$4-U$4)+V46</f>
        <v>0.65599999999999992</v>
      </c>
      <c r="X46" s="72">
        <f t="shared" ref="X46:X47" si="1654">(AE46-U46)/(AE$4-U$4)+W46</f>
        <v>0.64899999999999991</v>
      </c>
      <c r="Y46" s="72">
        <f t="shared" ref="Y46:Y47" si="1655">(AE46-U46)/(AE$4-U$4)+X46</f>
        <v>0.6419999999999999</v>
      </c>
      <c r="Z46" s="72">
        <f t="shared" ref="Z46:Z47" si="1656">(AE46-U46)/(AE$4-U$4)+Y46</f>
        <v>0.6349999999999999</v>
      </c>
      <c r="AA46" s="72">
        <f t="shared" ref="AA46:AA47" si="1657">(AE46-U46)/(AE$4-U$4)+Z46</f>
        <v>0.62799999999999989</v>
      </c>
      <c r="AB46" s="72">
        <f t="shared" ref="AB46:AB47" si="1658">(AE46-U46)/(AE$4-U$4)+AA46</f>
        <v>0.62099999999999989</v>
      </c>
      <c r="AC46" s="72">
        <f t="shared" ref="AC46:AC47" si="1659">(AE46-U46)/(AE$4-U$4)+AB46</f>
        <v>0.61399999999999988</v>
      </c>
      <c r="AD46" s="72">
        <f t="shared" ref="AD46:AD47" si="1660">(AE46-U46)/(AE$4-U$4)+AC46</f>
        <v>0.60699999999999987</v>
      </c>
      <c r="AE46" s="72">
        <f t="shared" ref="AE46:AE47" si="1661">H46</f>
        <v>0.6</v>
      </c>
      <c r="AF46" s="72">
        <f>(AH46-AE46)/(AH$4-AE$4)+AE46</f>
        <v>0.59749999999999992</v>
      </c>
      <c r="AG46" s="72">
        <f t="shared" ref="AG46:AG47" si="1662">(AE46+AH46)/2</f>
        <v>0.57499999999999996</v>
      </c>
      <c r="AH46" s="72">
        <f>I46</f>
        <v>0.54999999999999993</v>
      </c>
      <c r="AJ46" s="72" t="s">
        <v>548</v>
      </c>
      <c r="AK46" s="72">
        <f>AK45</f>
        <v>0.05</v>
      </c>
      <c r="AL46" s="111">
        <f>AL41</f>
        <v>0.19500000000000001</v>
      </c>
      <c r="AM46" s="72">
        <v>0.1</v>
      </c>
      <c r="AN46" s="72">
        <v>0.08</v>
      </c>
      <c r="AO46" s="72">
        <f>AN46</f>
        <v>0.08</v>
      </c>
      <c r="AP46" s="118" t="str">
        <f>AQ46&amp;" "&amp;AR46&amp;" "&amp;AS46&amp;" "&amp;AT46&amp;" "&amp;AU46&amp;" "&amp;AV46&amp;" "&amp;AW46&amp;" "&amp;AX46&amp;" "&amp;AY46&amp;" "&amp;AZ46&amp;" "&amp;BA46&amp;" "&amp;BB46&amp;" "&amp;BC46&amp;" "&amp;BD46&amp;" "&amp;BE46&amp;" "&amp;BF46&amp;" "&amp;BG46&amp;" "&amp;BH46&amp;" "&amp;BI46&amp;" "&amp;BJ46&amp;" "&amp;BK46&amp;" "&amp;BL46&amp;" "&amp;BM46&amp;" "&amp;BN46&amp;" "</f>
        <v xml:space="preserve">0.195 0.1855 0.176 0.1665 0.157 0.1475 0.138 0.1285 0.119 0.1095 0.1 0.098 0.096 0.094 0.092 0.09 0.088 0.086 0.084 0.082 0.08 0.08 0.08 0.08 </v>
      </c>
      <c r="AQ46" s="72">
        <f t="shared" ref="AQ46:AQ47" si="1663">AL46</f>
        <v>0.19500000000000001</v>
      </c>
      <c r="AR46" s="72">
        <f t="shared" ref="AR46:AR47" si="1664">(BA46-AQ46)/(BA$4-AQ$4)+AQ46</f>
        <v>0.1855</v>
      </c>
      <c r="AS46" s="72">
        <f t="shared" ref="AS46:AS47" si="1665">(BA46-AQ46)/(BA$4-AQ$4)+AR46</f>
        <v>0.17599999999999999</v>
      </c>
      <c r="AT46" s="72">
        <f t="shared" ref="AT46:AT47" si="1666">(BA46-AQ46)/(BA$4-AQ$4)+AS46</f>
        <v>0.16649999999999998</v>
      </c>
      <c r="AU46" s="72">
        <f t="shared" ref="AU46:AU47" si="1667">(BA46-AQ46)/(BA$4-AQ$4)+AT46</f>
        <v>0.15699999999999997</v>
      </c>
      <c r="AV46" s="72">
        <f t="shared" ref="AV46:AV47" si="1668">(BA46-AQ46)/(BA$4-AQ$4)+AU46</f>
        <v>0.14749999999999996</v>
      </c>
      <c r="AW46" s="72">
        <f t="shared" ref="AW46:AW47" si="1669">(BA46-AQ46)/(BA$4-AQ$4)+AV46</f>
        <v>0.13799999999999996</v>
      </c>
      <c r="AX46" s="72">
        <f t="shared" ref="AX46:AX47" si="1670">(BA46-AQ46)/(BA$4-AQ$4)+AW46</f>
        <v>0.12849999999999995</v>
      </c>
      <c r="AY46" s="72">
        <f t="shared" ref="AY46:AY47" si="1671">(BA46-AQ46)/(BA$4-AQ$4)+AX46</f>
        <v>0.11899999999999995</v>
      </c>
      <c r="AZ46" s="72">
        <f t="shared" ref="AZ46:AZ47" si="1672">(BA46-AQ46)/(BA$4-AQ$4)+AY46</f>
        <v>0.10949999999999996</v>
      </c>
      <c r="BA46" s="72">
        <f t="shared" ref="BA46:BA47" si="1673">AM46</f>
        <v>0.1</v>
      </c>
      <c r="BB46" s="72">
        <f t="shared" ref="BB46:BB47" si="1674">(BK46-BA46)/(BK$4-BA$4)+BA46</f>
        <v>9.8000000000000004E-2</v>
      </c>
      <c r="BC46" s="72">
        <f t="shared" ref="BC46:BC47" si="1675">(BK46-BA46)/(BK$4-BA$4)+BB46</f>
        <v>9.6000000000000002E-2</v>
      </c>
      <c r="BD46" s="72">
        <f t="shared" ref="BD46:BD47" si="1676">(BK46-BA46)/(BK$4-BA$4)+BC46</f>
        <v>9.4E-2</v>
      </c>
      <c r="BE46" s="72">
        <f t="shared" ref="BE46:BE47" si="1677">(BK46-BA46)/(BK$4-BA$4)+BD46</f>
        <v>9.1999999999999998E-2</v>
      </c>
      <c r="BF46" s="72">
        <f t="shared" ref="BF46:BF47" si="1678">(BK46-BA46)/(BK$4-BA$4)+BE46</f>
        <v>0.09</v>
      </c>
      <c r="BG46" s="72">
        <f t="shared" ref="BG46:BG47" si="1679">(BK46-BA46)/(BK$4-BA$4)+BF46</f>
        <v>8.7999999999999995E-2</v>
      </c>
      <c r="BH46" s="72">
        <f t="shared" ref="BH46:BH47" si="1680">(BK46-BA46)/(BK$4-BA$4)+BG46</f>
        <v>8.5999999999999993E-2</v>
      </c>
      <c r="BI46" s="72">
        <f t="shared" ref="BI46:BI47" si="1681">(BK46-BA46)/(BK$4-BA$4)+BH46</f>
        <v>8.3999999999999991E-2</v>
      </c>
      <c r="BJ46" s="72">
        <f t="shared" ref="BJ46:BJ47" si="1682">(BK46-BA46)/(BK$4-BA$4)+BI46</f>
        <v>8.199999999999999E-2</v>
      </c>
      <c r="BK46" s="72">
        <f t="shared" ref="BK46:BK47" si="1683">AN46</f>
        <v>0.08</v>
      </c>
      <c r="BL46" s="72">
        <f>(BN46-BK46)/(BN$4-BK$4)+BK46</f>
        <v>0.08</v>
      </c>
      <c r="BM46" s="72">
        <f t="shared" ref="BM46:BM47" si="1684">(BK46+BN46)/2</f>
        <v>0.08</v>
      </c>
      <c r="BN46" s="72">
        <f>AO46</f>
        <v>0.08</v>
      </c>
      <c r="BP46" s="84">
        <f ca="1">K46/(K46+K47)*(K48-BP45)</f>
        <v>7939.36</v>
      </c>
      <c r="BQ46" s="84">
        <f t="shared" ref="BQ46" ca="1" si="1685">L46/(L46+L47)*(L48-BQ45)</f>
        <v>9529.8060000000005</v>
      </c>
      <c r="BR46" s="84">
        <f t="shared" ref="BR46" ca="1" si="1686">M46/(M46+M47)*(M48-BR45)</f>
        <v>9810.4600000000009</v>
      </c>
      <c r="BS46" s="84">
        <f t="shared" ref="BS46" ca="1" si="1687">N46/(N46+N47)*(N48-BS45)</f>
        <v>10634.096</v>
      </c>
      <c r="BT46" s="84">
        <f t="shared" ref="BT46" ca="1" si="1688">O46/(O46+O47)*(O48-BT45)</f>
        <v>10878.12</v>
      </c>
      <c r="BU46" s="84">
        <f t="shared" ref="BU46" ca="1" si="1689">P46/(P46+P47)*(P48-BU45)</f>
        <v>11130.35</v>
      </c>
      <c r="BV46" s="84">
        <f t="shared" ref="BV46" ca="1" si="1690">Q46/(Q46+Q47)*(Q48-BV45)</f>
        <v>11417.25</v>
      </c>
      <c r="BW46" s="84">
        <f t="shared" ref="BW46" ca="1" si="1691">R46/(R46+R47)*(R48-BW45)</f>
        <v>11709.93</v>
      </c>
      <c r="BX46" s="84">
        <f t="shared" ref="BX46" ca="1" si="1692">S46/(S46+S47)*(S48-BX45)</f>
        <v>12007.52</v>
      </c>
      <c r="BY46" s="84">
        <f t="shared" ref="BY46" ca="1" si="1693">T46/(T46+T47)*(T48-BY45)</f>
        <v>12309.599999999999</v>
      </c>
      <c r="BZ46" s="84">
        <f t="shared" ref="BZ46" ca="1" si="1694">U46/(U46+U47)*(U48-BZ45)</f>
        <v>12614.76</v>
      </c>
      <c r="CA46" s="84">
        <f t="shared" ref="CA46" ca="1" si="1695">V46/(V46+V47)*(V48-CA45)</f>
        <v>13179.776999999998</v>
      </c>
      <c r="CB46" s="84">
        <f t="shared" ref="CB46" ca="1" si="1696">W46/(W46+W47)*(W48-CB45)</f>
        <v>13774.687999999998</v>
      </c>
      <c r="CC46" s="84">
        <f t="shared" ref="CC46" ca="1" si="1697">X46/(X46+X47)*(X48-CC45)</f>
        <v>14400.660999999998</v>
      </c>
      <c r="CD46" s="84">
        <f t="shared" ref="CD46" ca="1" si="1698">Y46/(Y46+Y47)*(Y48-CD45)</f>
        <v>15058.752</v>
      </c>
      <c r="CE46" s="84">
        <f t="shared" ref="CE46" ca="1" si="1699">Z46/(Z46+Z47)*(Z48-CE45)</f>
        <v>15749.905000000001</v>
      </c>
      <c r="CF46" s="84">
        <f t="shared" ref="CF46" ca="1" si="1700">AA46/(AA46+AA47)*(AA48-CF45)</f>
        <v>16477.03751634356</v>
      </c>
      <c r="CG46" s="84">
        <f t="shared" ref="CG46" ca="1" si="1701">AB46/(AB46+AB47)*(AB48-CG45)</f>
        <v>17241.362876894047</v>
      </c>
      <c r="CH46" s="84">
        <f t="shared" ref="CH46" ca="1" si="1702">AC46/(AC46+AC47)*(AC48-CH45)</f>
        <v>18044.665669504575</v>
      </c>
      <c r="CI46" s="84">
        <f t="shared" ref="CI46" ca="1" si="1703">AD46/(AD46+AD47)*(AD48-CI45)</f>
        <v>18888.807547558721</v>
      </c>
      <c r="CJ46" s="84">
        <f t="shared" ref="CJ46" ca="1" si="1704">AE46/(AE46+AE47)*(AE48-CJ45)</f>
        <v>19791.035399019907</v>
      </c>
      <c r="CK46" s="84">
        <f t="shared" ref="CK46" ca="1" si="1705">AF46/(AF46+AF47)*(AF48-CK45)</f>
        <v>20879.179572925612</v>
      </c>
      <c r="CL46" s="84">
        <f t="shared" ref="CL46" ca="1" si="1706">AG46/(AG46+AG47)*(AG48-CL45)</f>
        <v>34037.860111593109</v>
      </c>
      <c r="CM46" s="84">
        <f t="shared" ref="CM46" ca="1" si="1707">AH46/(AH46+AH47)*(AH48-CM45)</f>
        <v>59157.805258224325</v>
      </c>
      <c r="CN46" s="118" t="str">
        <f t="shared" ca="1" si="1601"/>
        <v xml:space="preserve">693.1 841.8 876.7 961.2 994.5 1029 1067.3 1106.7 1147.2 1188.8 1231.2 1289.2 1350.4 1414.9 1482.8 1554.3 1629.6 1709 1792.5 1880.5 1974.6 2083.2 3396 5902.3 </v>
      </c>
      <c r="CO46" s="117">
        <f t="shared" ref="CO46:CO47" ca="1" si="1708">ROUND(BP46*(1-AQ46)*(1-$AK46)/8.76,1)</f>
        <v>693.1</v>
      </c>
      <c r="CP46" s="117">
        <f t="shared" ca="1" si="1602"/>
        <v>841.8</v>
      </c>
      <c r="CQ46" s="117">
        <f t="shared" ca="1" si="1603"/>
        <v>876.7</v>
      </c>
      <c r="CR46" s="117">
        <f t="shared" ca="1" si="1604"/>
        <v>961.2</v>
      </c>
      <c r="CS46" s="117">
        <f t="shared" ca="1" si="1605"/>
        <v>994.5</v>
      </c>
      <c r="CT46" s="117">
        <f t="shared" ca="1" si="1606"/>
        <v>1029</v>
      </c>
      <c r="CU46" s="117">
        <f t="shared" ca="1" si="1607"/>
        <v>1067.3</v>
      </c>
      <c r="CV46" s="117">
        <f t="shared" ca="1" si="1608"/>
        <v>1106.7</v>
      </c>
      <c r="CW46" s="117">
        <f t="shared" ca="1" si="1609"/>
        <v>1147.2</v>
      </c>
      <c r="CX46" s="117">
        <f t="shared" ca="1" si="1610"/>
        <v>1188.8</v>
      </c>
      <c r="CY46" s="117">
        <f t="shared" ca="1" si="1611"/>
        <v>1231.2</v>
      </c>
      <c r="CZ46" s="117">
        <f t="shared" ca="1" si="1612"/>
        <v>1289.2</v>
      </c>
      <c r="DA46" s="117">
        <f t="shared" ca="1" si="1613"/>
        <v>1350.4</v>
      </c>
      <c r="DB46" s="117">
        <f t="shared" ca="1" si="1614"/>
        <v>1414.9</v>
      </c>
      <c r="DC46" s="117">
        <f t="shared" ca="1" si="1615"/>
        <v>1482.8</v>
      </c>
      <c r="DD46" s="117">
        <f t="shared" ca="1" si="1616"/>
        <v>1554.3</v>
      </c>
      <c r="DE46" s="117">
        <f t="shared" ref="DE46:DE47" ca="1" si="1709">ROUND(CF46*(1-BG46)*(1-$AK46)/8.76,1)</f>
        <v>1629.6</v>
      </c>
      <c r="DF46" s="117">
        <f t="shared" ca="1" si="1617"/>
        <v>1709</v>
      </c>
      <c r="DG46" s="117">
        <f t="shared" ca="1" si="1618"/>
        <v>1792.5</v>
      </c>
      <c r="DH46" s="117">
        <f t="shared" ref="DH46:DH47" ca="1" si="1710">ROUND(CI46*(1-BJ46)*(1-$AK46)/8.76,1)</f>
        <v>1880.5</v>
      </c>
      <c r="DI46" s="117">
        <f t="shared" ca="1" si="1619"/>
        <v>1974.6</v>
      </c>
      <c r="DJ46" s="117">
        <f t="shared" ref="DJ46:DJ47" ca="1" si="1711">ROUND(CK46*(1-BL46)*(1-$AK46)/8.76,1)</f>
        <v>2083.1999999999998</v>
      </c>
      <c r="DK46" s="117">
        <f t="shared" ref="DK46:DK47" ca="1" si="1712">ROUND(CL46*(1-BM46)*(1-$AK46)/8.76,1)</f>
        <v>3396</v>
      </c>
      <c r="DL46" s="117">
        <f t="shared" ca="1" si="1620"/>
        <v>5902.3</v>
      </c>
      <c r="DM46" s="118" t="str">
        <f t="shared" si="1621"/>
        <v xml:space="preserve">0.805 0.8145 0.824 0.8335 0.843 0.8525 0.862 0.8715 0.881 0.8905 0.9 0.902 0.904 0.906 0.908 0.91 0.912 0.914 0.916 0.918 0.92 0.92 0.92 0.92 </v>
      </c>
      <c r="DN46" s="72">
        <f t="shared" ref="DN46:DN47" si="1713">1-AQ46</f>
        <v>0.80499999999999994</v>
      </c>
      <c r="DO46" s="72">
        <f t="shared" si="1622"/>
        <v>0.8145</v>
      </c>
      <c r="DP46" s="72">
        <f t="shared" si="1623"/>
        <v>0.82400000000000007</v>
      </c>
      <c r="DQ46" s="72">
        <f t="shared" si="1624"/>
        <v>0.83350000000000002</v>
      </c>
      <c r="DR46" s="72">
        <f t="shared" si="1625"/>
        <v>0.84299999999999997</v>
      </c>
      <c r="DS46" s="72">
        <f t="shared" si="1626"/>
        <v>0.85250000000000004</v>
      </c>
      <c r="DT46" s="72">
        <f t="shared" si="1627"/>
        <v>0.8620000000000001</v>
      </c>
      <c r="DU46" s="72">
        <f t="shared" si="1628"/>
        <v>0.87150000000000005</v>
      </c>
      <c r="DV46" s="72">
        <f t="shared" si="1629"/>
        <v>0.88100000000000001</v>
      </c>
      <c r="DW46" s="72">
        <f t="shared" si="1630"/>
        <v>0.89050000000000007</v>
      </c>
      <c r="DX46" s="72">
        <f t="shared" si="1631"/>
        <v>0.9</v>
      </c>
      <c r="DY46" s="72">
        <f t="shared" si="1632"/>
        <v>0.90200000000000002</v>
      </c>
      <c r="DZ46" s="72">
        <f t="shared" si="1633"/>
        <v>0.90400000000000003</v>
      </c>
      <c r="EA46" s="72">
        <f t="shared" si="1634"/>
        <v>0.90600000000000003</v>
      </c>
      <c r="EB46" s="72">
        <f t="shared" si="1635"/>
        <v>0.90800000000000003</v>
      </c>
      <c r="EC46" s="72">
        <f t="shared" si="1636"/>
        <v>0.91</v>
      </c>
      <c r="ED46" s="72">
        <f t="shared" si="1637"/>
        <v>0.91200000000000003</v>
      </c>
      <c r="EE46" s="72">
        <f t="shared" si="1638"/>
        <v>0.91400000000000003</v>
      </c>
      <c r="EF46" s="72">
        <f t="shared" si="1639"/>
        <v>0.91600000000000004</v>
      </c>
      <c r="EG46" s="72">
        <f t="shared" si="1640"/>
        <v>0.91800000000000004</v>
      </c>
      <c r="EH46" s="72">
        <f t="shared" si="1641"/>
        <v>0.92</v>
      </c>
      <c r="EI46" s="72">
        <f t="shared" si="1642"/>
        <v>0.92</v>
      </c>
      <c r="EJ46" s="72">
        <f t="shared" si="1643"/>
        <v>0.92</v>
      </c>
      <c r="EK46" s="72">
        <f t="shared" si="1644"/>
        <v>0.92</v>
      </c>
    </row>
    <row r="47" spans="1:141" x14ac:dyDescent="0.25">
      <c r="A47" t="str">
        <f t="shared" si="20"/>
        <v>RuralGHA</v>
      </c>
      <c r="B47" t="str">
        <f t="shared" si="1598"/>
        <v>Rural</v>
      </c>
      <c r="C47" t="str">
        <f>IFERROR(VLOOKUP(D47,'For model'!$B$4:$C$16,2,FALSE),C46)</f>
        <v>GHA</v>
      </c>
      <c r="D47" t="s">
        <v>518</v>
      </c>
      <c r="E47" s="72">
        <v>0.02</v>
      </c>
      <c r="F47" s="72">
        <v>0.03</v>
      </c>
      <c r="G47" s="72">
        <v>0.03</v>
      </c>
      <c r="H47" s="72">
        <v>0.05</v>
      </c>
      <c r="I47" s="72">
        <v>0.05</v>
      </c>
      <c r="K47" s="72">
        <f t="shared" si="1647"/>
        <v>0.02</v>
      </c>
      <c r="L47" s="72">
        <f t="shared" ref="L47:O47" si="1714">($P47-$K47)/($P$4-$K$4)+K47</f>
        <v>2.1999999999999999E-2</v>
      </c>
      <c r="M47" s="72">
        <f t="shared" si="1714"/>
        <v>2.3999999999999997E-2</v>
      </c>
      <c r="N47" s="72">
        <f t="shared" si="1714"/>
        <v>2.5999999999999995E-2</v>
      </c>
      <c r="O47" s="72">
        <f t="shared" si="1714"/>
        <v>2.7999999999999994E-2</v>
      </c>
      <c r="P47" s="72">
        <f t="shared" si="1649"/>
        <v>0.03</v>
      </c>
      <c r="Q47" s="72">
        <f t="shared" ref="Q47:T47" si="1715">($U47-$P47)/($U$4-$P$4)+P47</f>
        <v>0.03</v>
      </c>
      <c r="R47" s="72">
        <f t="shared" si="1715"/>
        <v>0.03</v>
      </c>
      <c r="S47" s="72">
        <f t="shared" si="1715"/>
        <v>0.03</v>
      </c>
      <c r="T47" s="72">
        <f t="shared" si="1715"/>
        <v>0.03</v>
      </c>
      <c r="U47" s="72">
        <f t="shared" si="1651"/>
        <v>0.03</v>
      </c>
      <c r="V47" s="72">
        <f t="shared" si="1652"/>
        <v>3.2000000000000001E-2</v>
      </c>
      <c r="W47" s="72">
        <f t="shared" si="1653"/>
        <v>3.4000000000000002E-2</v>
      </c>
      <c r="X47" s="72">
        <f t="shared" si="1654"/>
        <v>3.6000000000000004E-2</v>
      </c>
      <c r="Y47" s="72">
        <f t="shared" si="1655"/>
        <v>3.8000000000000006E-2</v>
      </c>
      <c r="Z47" s="72">
        <f t="shared" si="1656"/>
        <v>4.0000000000000008E-2</v>
      </c>
      <c r="AA47" s="72">
        <f t="shared" si="1657"/>
        <v>4.200000000000001E-2</v>
      </c>
      <c r="AB47" s="72">
        <f t="shared" si="1658"/>
        <v>4.4000000000000011E-2</v>
      </c>
      <c r="AC47" s="72">
        <f t="shared" si="1659"/>
        <v>4.6000000000000013E-2</v>
      </c>
      <c r="AD47" s="72">
        <f t="shared" si="1660"/>
        <v>4.8000000000000015E-2</v>
      </c>
      <c r="AE47" s="72">
        <f t="shared" si="1661"/>
        <v>0.05</v>
      </c>
      <c r="AF47" s="72">
        <f>(AH47-AE47)/(AH$4-AE$4)+AE47</f>
        <v>0.05</v>
      </c>
      <c r="AG47" s="72">
        <f t="shared" si="1662"/>
        <v>0.05</v>
      </c>
      <c r="AH47" s="72">
        <f>I47</f>
        <v>0.05</v>
      </c>
      <c r="AJ47" s="116">
        <f>1-((1-AL47)*K47+(1-AL46)*K46+(1-AL45)*K45)*(1-AK45)</f>
        <v>0.21967000000000014</v>
      </c>
      <c r="AK47" s="72">
        <f>AK46</f>
        <v>0.05</v>
      </c>
      <c r="AL47" s="72">
        <f>AL42</f>
        <v>0.25</v>
      </c>
      <c r="AM47" s="72">
        <v>0.2</v>
      </c>
      <c r="AN47" s="72">
        <v>0.2</v>
      </c>
      <c r="AO47" s="72">
        <f>AN47</f>
        <v>0.2</v>
      </c>
      <c r="AP47" s="118" t="str">
        <f>AQ47&amp;" "&amp;AR47&amp;" "&amp;AS47&amp;" "&amp;AT47&amp;" "&amp;AU47&amp;" "&amp;AV47&amp;" "&amp;AW47&amp;" "&amp;AX47&amp;" "&amp;AY47&amp;" "&amp;AZ47&amp;" "&amp;BA47&amp;" "&amp;BB47&amp;" "&amp;BC47&amp;" "&amp;BD47&amp;" "&amp;BE47&amp;" "&amp;BF47&amp;" "&amp;BG47&amp;" "&amp;BH47&amp;" "&amp;BI47&amp;" "&amp;BJ47&amp;" "&amp;BK47&amp;" "&amp;BL47&amp;" "&amp;BM47&amp;" "&amp;BN47&amp;" "</f>
        <v xml:space="preserve">0.25 0.245 0.24 0.235 0.23 0.225 0.22 0.215 0.21 0.205 0.2 0.2 0.2 0.2 0.2 0.2 0.2 0.2 0.2 0.2 0.2 0.2 0.2 0.2 </v>
      </c>
      <c r="AQ47" s="72">
        <f t="shared" si="1663"/>
        <v>0.25</v>
      </c>
      <c r="AR47" s="72">
        <f t="shared" si="1664"/>
        <v>0.245</v>
      </c>
      <c r="AS47" s="72">
        <f t="shared" si="1665"/>
        <v>0.24</v>
      </c>
      <c r="AT47" s="72">
        <f t="shared" si="1666"/>
        <v>0.23499999999999999</v>
      </c>
      <c r="AU47" s="72">
        <f t="shared" si="1667"/>
        <v>0.22999999999999998</v>
      </c>
      <c r="AV47" s="72">
        <f t="shared" si="1668"/>
        <v>0.22499999999999998</v>
      </c>
      <c r="AW47" s="72">
        <f t="shared" si="1669"/>
        <v>0.21999999999999997</v>
      </c>
      <c r="AX47" s="72">
        <f t="shared" si="1670"/>
        <v>0.21499999999999997</v>
      </c>
      <c r="AY47" s="72">
        <f t="shared" si="1671"/>
        <v>0.20999999999999996</v>
      </c>
      <c r="AZ47" s="72">
        <f t="shared" si="1672"/>
        <v>0.20499999999999996</v>
      </c>
      <c r="BA47" s="72">
        <f t="shared" si="1673"/>
        <v>0.2</v>
      </c>
      <c r="BB47" s="72">
        <f t="shared" si="1674"/>
        <v>0.2</v>
      </c>
      <c r="BC47" s="72">
        <f t="shared" si="1675"/>
        <v>0.2</v>
      </c>
      <c r="BD47" s="72">
        <f t="shared" si="1676"/>
        <v>0.2</v>
      </c>
      <c r="BE47" s="72">
        <f t="shared" si="1677"/>
        <v>0.2</v>
      </c>
      <c r="BF47" s="72">
        <f t="shared" si="1678"/>
        <v>0.2</v>
      </c>
      <c r="BG47" s="72">
        <f t="shared" si="1679"/>
        <v>0.2</v>
      </c>
      <c r="BH47" s="72">
        <f t="shared" si="1680"/>
        <v>0.2</v>
      </c>
      <c r="BI47" s="72">
        <f t="shared" si="1681"/>
        <v>0.2</v>
      </c>
      <c r="BJ47" s="72">
        <f t="shared" si="1682"/>
        <v>0.2</v>
      </c>
      <c r="BK47" s="72">
        <f t="shared" si="1683"/>
        <v>0.2</v>
      </c>
      <c r="BL47" s="72">
        <f>(BN47-BK47)/(BN$4-BK$4)+BK47</f>
        <v>0.2</v>
      </c>
      <c r="BM47" s="72">
        <f t="shared" si="1684"/>
        <v>0.2</v>
      </c>
      <c r="BN47" s="72">
        <f>AO47</f>
        <v>0.2</v>
      </c>
      <c r="BP47" s="84">
        <f ca="1">K47/(K46+K47)*(K48-BP45)</f>
        <v>180.44</v>
      </c>
      <c r="BQ47" s="84">
        <f t="shared" ref="BQ47" ca="1" si="1716">L47/(L46+L47)*(L48-BQ45)</f>
        <v>244.35399999999998</v>
      </c>
      <c r="BR47" s="84">
        <f t="shared" ref="BR47" ca="1" si="1717">M47/(M46+M47)*(M48-BR45)</f>
        <v>281.64</v>
      </c>
      <c r="BS47" s="84">
        <f t="shared" ref="BS47" ca="1" si="1718">N47/(N46+N47)*(N48-BS45)</f>
        <v>339.66399999999993</v>
      </c>
      <c r="BT47" s="84">
        <f t="shared" ref="BT47" ca="1" si="1719">O47/(O46+O47)*(O48-BT45)</f>
        <v>384.58</v>
      </c>
      <c r="BU47" s="84">
        <f t="shared" ref="BU47" ca="1" si="1720">P47/(P46+P47)*(P48-BU45)</f>
        <v>433.65</v>
      </c>
      <c r="BV47" s="84">
        <f t="shared" ref="BV47" ca="1" si="1721">Q47/(Q46+Q47)*(Q48-BV45)</f>
        <v>456.68999999999994</v>
      </c>
      <c r="BW47" s="84">
        <f t="shared" ref="BW47" ca="1" si="1722">R47/(R46+R47)*(R48-BW45)</f>
        <v>481.22999999999996</v>
      </c>
      <c r="BX47" s="84">
        <f t="shared" ref="BX47" ca="1" si="1723">S47/(S46+S47)*(S48-BX45)</f>
        <v>507.36000000000007</v>
      </c>
      <c r="BY47" s="84">
        <f t="shared" ref="BY47" ca="1" si="1724">T47/(T46+T47)*(T48-BY45)</f>
        <v>535.19999999999993</v>
      </c>
      <c r="BZ47" s="84">
        <f t="shared" ref="BZ47" ca="1" si="1725">U47/(U46+U47)*(U48-BZ45)</f>
        <v>564.84</v>
      </c>
      <c r="CA47" s="84">
        <f t="shared" ref="CA47" ca="1" si="1726">V47/(V46+V47)*(V48-CA45)</f>
        <v>636.12799999999993</v>
      </c>
      <c r="CB47" s="84">
        <f t="shared" ref="CB47" ca="1" si="1727">W47/(W46+W47)*(W48-CB45)</f>
        <v>713.93200000000013</v>
      </c>
      <c r="CC47" s="84">
        <f t="shared" ref="CC47" ca="1" si="1728">X47/(X46+X47)*(X48-CC45)</f>
        <v>798.80400000000009</v>
      </c>
      <c r="CD47" s="84">
        <f t="shared" ref="CD47" ca="1" si="1729">Y47/(Y46+Y47)*(Y48-CD45)</f>
        <v>891.32800000000032</v>
      </c>
      <c r="CE47" s="84">
        <f t="shared" ref="CE47" ca="1" si="1730">Z47/(Z46+Z47)*(Z48-CE45)</f>
        <v>992.12000000000035</v>
      </c>
      <c r="CF47" s="84">
        <f t="shared" ref="CF47" ca="1" si="1731">AA47/(AA46+AA47)*(AA48-CF45)</f>
        <v>1101.9674772076908</v>
      </c>
      <c r="CG47" s="84">
        <f t="shared" ref="CG47" ca="1" si="1732">AB47/(AB46+AB47)*(AB48-CG45)</f>
        <v>1221.6102521470825</v>
      </c>
      <c r="CH47" s="84">
        <f t="shared" ref="CH47" ca="1" si="1733">AC47/(AC46+AC47)*(AC48-CH45)</f>
        <v>1351.8804898977378</v>
      </c>
      <c r="CI47" s="84">
        <f t="shared" ref="CI47" ca="1" si="1734">AD47/(AD46+AD47)*(AD48-CI45)</f>
        <v>1493.6783563143642</v>
      </c>
      <c r="CJ47" s="84">
        <f t="shared" ref="CJ47" ca="1" si="1735">AE47/(AE46+AE47)*(AE48-CJ45)</f>
        <v>1649.2529499183256</v>
      </c>
      <c r="CK47" s="84">
        <f t="shared" ref="CK47" ca="1" si="1736">AF47/(AF46+AF47)*(AF48-CK45)</f>
        <v>1747.2116797427293</v>
      </c>
      <c r="CL47" s="84">
        <f t="shared" ref="CL47" ca="1" si="1737">AG47/(AG46+AG47)*(AG48-CL45)</f>
        <v>2959.813922747227</v>
      </c>
      <c r="CM47" s="84">
        <f t="shared" ref="CM47" ca="1" si="1738">AH47/(AH46+AH47)*(AH48-CM45)</f>
        <v>5377.9822962022126</v>
      </c>
      <c r="CN47" s="118" t="str">
        <f t="shared" ca="1" si="1601"/>
        <v xml:space="preserve">14.7 20 23.2 28.2 32.1 36.4 38.6 41 43.5 46.1 49 55.2 61.9 69.3 77.3 86.1 95.6 106 117.3 129.6 143.1 151.6 256.8 466.6 </v>
      </c>
      <c r="CO47" s="117">
        <f t="shared" ca="1" si="1708"/>
        <v>14.7</v>
      </c>
      <c r="CP47" s="117">
        <f t="shared" ca="1" si="1602"/>
        <v>20</v>
      </c>
      <c r="CQ47" s="117">
        <f t="shared" ca="1" si="1603"/>
        <v>23.2</v>
      </c>
      <c r="CR47" s="117">
        <f t="shared" ca="1" si="1604"/>
        <v>28.2</v>
      </c>
      <c r="CS47" s="117">
        <f t="shared" ca="1" si="1605"/>
        <v>32.1</v>
      </c>
      <c r="CT47" s="117">
        <f t="shared" ca="1" si="1606"/>
        <v>36.4</v>
      </c>
      <c r="CU47" s="117">
        <f t="shared" ca="1" si="1607"/>
        <v>38.6</v>
      </c>
      <c r="CV47" s="117">
        <f t="shared" ca="1" si="1608"/>
        <v>41</v>
      </c>
      <c r="CW47" s="117">
        <f t="shared" ca="1" si="1609"/>
        <v>43.5</v>
      </c>
      <c r="CX47" s="117">
        <f t="shared" ca="1" si="1610"/>
        <v>46.1</v>
      </c>
      <c r="CY47" s="117">
        <f t="shared" ca="1" si="1611"/>
        <v>49</v>
      </c>
      <c r="CZ47" s="117">
        <f t="shared" ca="1" si="1612"/>
        <v>55.2</v>
      </c>
      <c r="DA47" s="117">
        <f t="shared" ca="1" si="1613"/>
        <v>61.9</v>
      </c>
      <c r="DB47" s="117">
        <f t="shared" ca="1" si="1614"/>
        <v>69.3</v>
      </c>
      <c r="DC47" s="117">
        <f t="shared" ca="1" si="1615"/>
        <v>77.3</v>
      </c>
      <c r="DD47" s="117">
        <f t="shared" ca="1" si="1616"/>
        <v>86.1</v>
      </c>
      <c r="DE47" s="117">
        <f t="shared" ca="1" si="1709"/>
        <v>95.6</v>
      </c>
      <c r="DF47" s="117">
        <f t="shared" ca="1" si="1617"/>
        <v>106</v>
      </c>
      <c r="DG47" s="117">
        <f t="shared" ca="1" si="1618"/>
        <v>117.3</v>
      </c>
      <c r="DH47" s="117">
        <f t="shared" ca="1" si="1710"/>
        <v>129.6</v>
      </c>
      <c r="DI47" s="117">
        <f t="shared" ca="1" si="1619"/>
        <v>143.1</v>
      </c>
      <c r="DJ47" s="117">
        <f t="shared" ca="1" si="1711"/>
        <v>151.6</v>
      </c>
      <c r="DK47" s="117">
        <f t="shared" ca="1" si="1712"/>
        <v>256.8</v>
      </c>
      <c r="DL47" s="117">
        <f t="shared" ca="1" si="1620"/>
        <v>466.6</v>
      </c>
      <c r="DM47" s="118" t="str">
        <f t="shared" si="1621"/>
        <v xml:space="preserve">0.75 0.755 0.76 0.765 0.77 0.775 0.78 0.785 0.79 0.795 0.8 0.8 0.8 0.8 0.8 0.8 0.8 0.8 0.8 0.8 0.8 0.8 0.8 0.8 </v>
      </c>
      <c r="DN47" s="72">
        <f t="shared" si="1713"/>
        <v>0.75</v>
      </c>
      <c r="DO47" s="72">
        <f t="shared" si="1622"/>
        <v>0.755</v>
      </c>
      <c r="DP47" s="72">
        <f t="shared" si="1623"/>
        <v>0.76</v>
      </c>
      <c r="DQ47" s="72">
        <f t="shared" si="1624"/>
        <v>0.76500000000000001</v>
      </c>
      <c r="DR47" s="72">
        <f t="shared" si="1625"/>
        <v>0.77</v>
      </c>
      <c r="DS47" s="72">
        <f t="shared" si="1626"/>
        <v>0.77500000000000002</v>
      </c>
      <c r="DT47" s="72">
        <f t="shared" si="1627"/>
        <v>0.78</v>
      </c>
      <c r="DU47" s="72">
        <f t="shared" si="1628"/>
        <v>0.78500000000000003</v>
      </c>
      <c r="DV47" s="72">
        <f t="shared" si="1629"/>
        <v>0.79</v>
      </c>
      <c r="DW47" s="72">
        <f t="shared" si="1630"/>
        <v>0.79500000000000004</v>
      </c>
      <c r="DX47" s="72">
        <f t="shared" si="1631"/>
        <v>0.8</v>
      </c>
      <c r="DY47" s="72">
        <f t="shared" si="1632"/>
        <v>0.8</v>
      </c>
      <c r="DZ47" s="72">
        <f t="shared" si="1633"/>
        <v>0.8</v>
      </c>
      <c r="EA47" s="72">
        <f t="shared" si="1634"/>
        <v>0.8</v>
      </c>
      <c r="EB47" s="72">
        <f t="shared" si="1635"/>
        <v>0.8</v>
      </c>
      <c r="EC47" s="72">
        <f t="shared" si="1636"/>
        <v>0.8</v>
      </c>
      <c r="ED47" s="72">
        <f t="shared" si="1637"/>
        <v>0.8</v>
      </c>
      <c r="EE47" s="72">
        <f t="shared" si="1638"/>
        <v>0.8</v>
      </c>
      <c r="EF47" s="72">
        <f t="shared" si="1639"/>
        <v>0.8</v>
      </c>
      <c r="EG47" s="72">
        <f t="shared" si="1640"/>
        <v>0.8</v>
      </c>
      <c r="EH47" s="72">
        <f t="shared" si="1641"/>
        <v>0.8</v>
      </c>
      <c r="EI47" s="72">
        <f t="shared" si="1642"/>
        <v>0.8</v>
      </c>
      <c r="EJ47" s="72">
        <f t="shared" si="1643"/>
        <v>0.8</v>
      </c>
      <c r="EK47" s="72">
        <f t="shared" si="1644"/>
        <v>0.8</v>
      </c>
    </row>
    <row r="48" spans="1:141" x14ac:dyDescent="0.25">
      <c r="A48" t="str">
        <f t="shared" si="20"/>
        <v>GHA</v>
      </c>
      <c r="C48" t="str">
        <f>IFERROR(VLOOKUP(D48,'For model'!$B$4:$C$16,2,FALSE),C47)</f>
        <v>GHA</v>
      </c>
      <c r="D48" t="s">
        <v>537</v>
      </c>
      <c r="K48" s="84">
        <f ca="1">OFFSET(SourceData!$BS$4,MATCH(K44,SourceData!$BS$5:$BS$28,0),MATCH($C48,SourceData!$BT$3:$CF$3,0))</f>
        <v>9022</v>
      </c>
      <c r="L48" s="84">
        <f ca="1">OFFSET(SourceData!$BS$4,MATCH(L44,SourceData!$BS$5:$BS$28,0),MATCH($C48,SourceData!$BT$3:$CF$3,0))</f>
        <v>11107</v>
      </c>
      <c r="M48" s="84">
        <f ca="1">OFFSET(SourceData!$BS$4,MATCH(M44,SourceData!$BS$5:$BS$28,0),MATCH($C48,SourceData!$BT$3:$CF$3,0))</f>
        <v>11735</v>
      </c>
      <c r="N48" s="84">
        <f ca="1">OFFSET(SourceData!$BS$4,MATCH(N44,SourceData!$BS$5:$BS$28,0),MATCH($C48,SourceData!$BT$3:$CF$3,0))</f>
        <v>13064</v>
      </c>
      <c r="O48" s="84">
        <f ca="1">OFFSET(SourceData!$BS$4,MATCH(O44,SourceData!$BS$5:$BS$28,0),MATCH($C48,SourceData!$BT$3:$CF$3,0))</f>
        <v>13735</v>
      </c>
      <c r="P48" s="84">
        <f ca="1">OFFSET(SourceData!$BS$4,MATCH(P44,SourceData!$BS$5:$BS$28,0),MATCH($C48,SourceData!$BT$3:$CF$3,0))</f>
        <v>14455</v>
      </c>
      <c r="Q48" s="84">
        <f ca="1">OFFSET(SourceData!$BS$4,MATCH(Q44,SourceData!$BS$5:$BS$28,0),MATCH($C48,SourceData!$BT$3:$CF$3,0))</f>
        <v>15223</v>
      </c>
      <c r="R48" s="84">
        <f ca="1">OFFSET(SourceData!$BS$4,MATCH(R44,SourceData!$BS$5:$BS$28,0),MATCH($C48,SourceData!$BT$3:$CF$3,0))</f>
        <v>16041</v>
      </c>
      <c r="S48" s="84">
        <f ca="1">OFFSET(SourceData!$BS$4,MATCH(S44,SourceData!$BS$5:$BS$28,0),MATCH($C48,SourceData!$BT$3:$CF$3,0))</f>
        <v>16912</v>
      </c>
      <c r="T48" s="84">
        <f ca="1">OFFSET(SourceData!$BS$4,MATCH(T44,SourceData!$BS$5:$BS$28,0),MATCH($C48,SourceData!$BT$3:$CF$3,0))</f>
        <v>17840</v>
      </c>
      <c r="U48" s="84">
        <f ca="1">OFFSET(SourceData!$BS$4,MATCH(U44,SourceData!$BS$5:$BS$28,0),MATCH($C48,SourceData!$BT$3:$CF$3,0))</f>
        <v>18828</v>
      </c>
      <c r="V48" s="84">
        <f ca="1">OFFSET(SourceData!$BS$4,MATCH(V44,SourceData!$BS$5:$BS$28,0),MATCH($C48,SourceData!$BT$3:$CF$3,0))</f>
        <v>19879</v>
      </c>
      <c r="W48" s="84">
        <f ca="1">OFFSET(SourceData!$BS$4,MATCH(W44,SourceData!$BS$5:$BS$28,0),MATCH($C48,SourceData!$BT$3:$CF$3,0))</f>
        <v>20998</v>
      </c>
      <c r="X48" s="84">
        <f ca="1">OFFSET(SourceData!$BS$4,MATCH(X44,SourceData!$BS$5:$BS$28,0),MATCH($C48,SourceData!$BT$3:$CF$3,0))</f>
        <v>22189</v>
      </c>
      <c r="Y48" s="84">
        <f ca="1">OFFSET(SourceData!$BS$4,MATCH(Y44,SourceData!$BS$5:$BS$28,0),MATCH($C48,SourceData!$BT$3:$CF$3,0))</f>
        <v>23456</v>
      </c>
      <c r="Z48" s="84">
        <f ca="1">OFFSET(SourceData!$BS$4,MATCH(Z44,SourceData!$BS$5:$BS$28,0),MATCH($C48,SourceData!$BT$3:$CF$3,0))</f>
        <v>24803</v>
      </c>
      <c r="AA48" s="84">
        <f ca="1">OFFSET(SourceData!$BS$4,MATCH(AA44,SourceData!$BS$5:$BS$28,0),MATCH($C48,SourceData!$BT$3:$CF$3,0))</f>
        <v>26237.320885897389</v>
      </c>
      <c r="AB48" s="84">
        <f ca="1">OFFSET(SourceData!$BS$4,MATCH(AB44,SourceData!$BS$5:$BS$28,0),MATCH($C48,SourceData!$BT$3:$CF$3,0))</f>
        <v>27763.869366979143</v>
      </c>
      <c r="AC48" s="84">
        <f ca="1">OFFSET(SourceData!$BS$4,MATCH(AC44,SourceData!$BS$5:$BS$28,0),MATCH($C48,SourceData!$BT$3:$CF$3,0))</f>
        <v>29388.70630212472</v>
      </c>
      <c r="AD48" s="84">
        <f ca="1">OFFSET(SourceData!$BS$4,MATCH(AD44,SourceData!$BS$5:$BS$28,0),MATCH($C48,SourceData!$BT$3:$CF$3,0))</f>
        <v>31118.299089882574</v>
      </c>
      <c r="AE48" s="84">
        <f ca="1">OFFSET(SourceData!$BS$4,MATCH(AE44,SourceData!$BS$5:$BS$28,0),MATCH($C48,SourceData!$BT$3:$CF$3,0))</f>
        <v>32985.058998366512</v>
      </c>
      <c r="AF48" s="84">
        <f ca="1">OFFSET(SourceData!$BS$4,MATCH(AF44,SourceData!$BS$5:$BS$28,0),MATCH($C48,SourceData!$BT$3:$CF$3,0))</f>
        <v>34944.233594854581</v>
      </c>
      <c r="AG48" s="84">
        <f ca="1">OFFSET(SourceData!$BS$4,MATCH(AG44,SourceData!$BS$5:$BS$28,0),MATCH($C48,SourceData!$BT$3:$CF$3,0))</f>
        <v>59196.278454944542</v>
      </c>
      <c r="AH48" s="84">
        <f ca="1">OFFSET(SourceData!$BS$4,MATCH(AH44,SourceData!$BS$5:$BS$28,0),MATCH($C48,SourceData!$BT$3:$CF$3,0))</f>
        <v>107559.64592404423</v>
      </c>
      <c r="BP48" s="84">
        <f ca="1">SUM(BP45:BP47)</f>
        <v>9022</v>
      </c>
      <c r="BQ48" s="84">
        <f t="shared" ref="BQ48" ca="1" si="1739">SUM(BQ45:BQ47)</f>
        <v>11107</v>
      </c>
      <c r="BR48" s="84">
        <f t="shared" ref="BR48" ca="1" si="1740">SUM(BR45:BR47)</f>
        <v>11735</v>
      </c>
      <c r="BS48" s="84">
        <f t="shared" ref="BS48" ca="1" si="1741">SUM(BS45:BS47)</f>
        <v>13064</v>
      </c>
      <c r="BT48" s="84">
        <f t="shared" ref="BT48" ca="1" si="1742">SUM(BT45:BT47)</f>
        <v>13735</v>
      </c>
      <c r="BU48" s="84">
        <f t="shared" ref="BU48" ca="1" si="1743">SUM(BU45:BU47)</f>
        <v>14455</v>
      </c>
      <c r="BV48" s="84">
        <f t="shared" ref="BV48" ca="1" si="1744">SUM(BV45:BV47)</f>
        <v>15223</v>
      </c>
      <c r="BW48" s="84">
        <f t="shared" ref="BW48" ca="1" si="1745">SUM(BW45:BW47)</f>
        <v>16041</v>
      </c>
      <c r="BX48" s="84">
        <f t="shared" ref="BX48" ca="1" si="1746">SUM(BX45:BX47)</f>
        <v>16912</v>
      </c>
      <c r="BY48" s="84">
        <f t="shared" ref="BY48" ca="1" si="1747">SUM(BY45:BY47)</f>
        <v>17840</v>
      </c>
      <c r="BZ48" s="84">
        <f t="shared" ref="BZ48" ca="1" si="1748">SUM(BZ45:BZ47)</f>
        <v>18828</v>
      </c>
      <c r="CA48" s="84">
        <f t="shared" ref="CA48" ca="1" si="1749">SUM(CA45:CA47)</f>
        <v>19879</v>
      </c>
      <c r="CB48" s="84">
        <f t="shared" ref="CB48" ca="1" si="1750">SUM(CB45:CB47)</f>
        <v>20998</v>
      </c>
      <c r="CC48" s="84">
        <f t="shared" ref="CC48" ca="1" si="1751">SUM(CC45:CC47)</f>
        <v>22188.999999999996</v>
      </c>
      <c r="CD48" s="84">
        <f t="shared" ref="CD48" ca="1" si="1752">SUM(CD45:CD47)</f>
        <v>23456</v>
      </c>
      <c r="CE48" s="84">
        <f t="shared" ref="CE48" ca="1" si="1753">SUM(CE45:CE47)</f>
        <v>24803</v>
      </c>
      <c r="CF48" s="84">
        <f t="shared" ref="CF48" ca="1" si="1754">SUM(CF45:CF47)</f>
        <v>26237.320885897389</v>
      </c>
      <c r="CG48" s="84">
        <f t="shared" ref="CG48" ca="1" si="1755">SUM(CG45:CG47)</f>
        <v>27763.869366979143</v>
      </c>
      <c r="CH48" s="84">
        <f t="shared" ref="CH48" ca="1" si="1756">SUM(CH45:CH47)</f>
        <v>29388.706302124716</v>
      </c>
      <c r="CI48" s="84">
        <f t="shared" ref="CI48" ca="1" si="1757">SUM(CI45:CI47)</f>
        <v>31118.299089882577</v>
      </c>
      <c r="CJ48" s="84">
        <f t="shared" ref="CJ48" ca="1" si="1758">SUM(CJ45:CJ47)</f>
        <v>32985.058998366512</v>
      </c>
      <c r="CK48" s="84">
        <f t="shared" ref="CK48" ca="1" si="1759">SUM(CK45:CK47)</f>
        <v>34944.233594854581</v>
      </c>
      <c r="CL48" s="84">
        <f t="shared" ref="CL48" ca="1" si="1760">SUM(CL45:CL47)</f>
        <v>59196.278454944535</v>
      </c>
      <c r="CM48" s="84">
        <f t="shared" ref="CM48" ca="1" si="1761">SUM(CM45:CM47)</f>
        <v>107559.64592404423</v>
      </c>
    </row>
    <row r="49" spans="1:141" x14ac:dyDescent="0.25">
      <c r="A49" t="str">
        <f t="shared" si="20"/>
        <v>TBN</v>
      </c>
      <c r="C49" t="str">
        <f>IFERROR(VLOOKUP(D49,'For model'!$B$4:$C$16,2,FALSE),C48)</f>
        <v>TBN</v>
      </c>
      <c r="D49" s="92" t="s">
        <v>195</v>
      </c>
      <c r="E49">
        <v>2010</v>
      </c>
      <c r="F49">
        <v>2015</v>
      </c>
      <c r="G49">
        <v>2020</v>
      </c>
      <c r="H49">
        <v>2030</v>
      </c>
      <c r="I49">
        <f>I44</f>
        <v>2050</v>
      </c>
      <c r="K49">
        <v>2010</v>
      </c>
      <c r="L49">
        <f>K49+1</f>
        <v>2011</v>
      </c>
      <c r="M49">
        <f t="shared" ref="M49:U49" si="1762">L49+1</f>
        <v>2012</v>
      </c>
      <c r="N49">
        <f t="shared" si="1762"/>
        <v>2013</v>
      </c>
      <c r="O49">
        <f t="shared" si="1762"/>
        <v>2014</v>
      </c>
      <c r="P49">
        <f t="shared" si="1762"/>
        <v>2015</v>
      </c>
      <c r="Q49">
        <f t="shared" si="1762"/>
        <v>2016</v>
      </c>
      <c r="R49">
        <f t="shared" si="1762"/>
        <v>2017</v>
      </c>
      <c r="S49">
        <f t="shared" si="1762"/>
        <v>2018</v>
      </c>
      <c r="T49">
        <f t="shared" si="1762"/>
        <v>2019</v>
      </c>
      <c r="U49">
        <f t="shared" si="1762"/>
        <v>2020</v>
      </c>
      <c r="V49">
        <f t="shared" ref="V49:AF49" si="1763">U49+1</f>
        <v>2021</v>
      </c>
      <c r="W49">
        <f t="shared" si="1763"/>
        <v>2022</v>
      </c>
      <c r="X49">
        <f t="shared" si="1763"/>
        <v>2023</v>
      </c>
      <c r="Y49">
        <f t="shared" si="1763"/>
        <v>2024</v>
      </c>
      <c r="Z49">
        <f t="shared" si="1763"/>
        <v>2025</v>
      </c>
      <c r="AA49">
        <f t="shared" si="1763"/>
        <v>2026</v>
      </c>
      <c r="AB49">
        <f t="shared" si="1763"/>
        <v>2027</v>
      </c>
      <c r="AC49">
        <f t="shared" si="1763"/>
        <v>2028</v>
      </c>
      <c r="AD49">
        <f t="shared" si="1763"/>
        <v>2029</v>
      </c>
      <c r="AE49">
        <f t="shared" si="1763"/>
        <v>2030</v>
      </c>
      <c r="AF49">
        <f t="shared" si="1763"/>
        <v>2031</v>
      </c>
      <c r="AG49">
        <v>2040</v>
      </c>
      <c r="AH49">
        <v>2050</v>
      </c>
      <c r="AL49">
        <f>E49</f>
        <v>2010</v>
      </c>
      <c r="AM49">
        <f>G49</f>
        <v>2020</v>
      </c>
      <c r="AN49">
        <f>H49</f>
        <v>2030</v>
      </c>
      <c r="AO49">
        <f>I49</f>
        <v>2050</v>
      </c>
      <c r="AQ49">
        <v>2010</v>
      </c>
      <c r="AR49">
        <f>AQ49+1</f>
        <v>2011</v>
      </c>
      <c r="AS49">
        <f t="shared" ref="AS49:BL49" si="1764">AR49+1</f>
        <v>2012</v>
      </c>
      <c r="AT49">
        <f t="shared" si="1764"/>
        <v>2013</v>
      </c>
      <c r="AU49">
        <f t="shared" si="1764"/>
        <v>2014</v>
      </c>
      <c r="AV49">
        <f t="shared" si="1764"/>
        <v>2015</v>
      </c>
      <c r="AW49">
        <f t="shared" si="1764"/>
        <v>2016</v>
      </c>
      <c r="AX49">
        <f t="shared" si="1764"/>
        <v>2017</v>
      </c>
      <c r="AY49">
        <f t="shared" si="1764"/>
        <v>2018</v>
      </c>
      <c r="AZ49">
        <f t="shared" si="1764"/>
        <v>2019</v>
      </c>
      <c r="BA49">
        <f t="shared" si="1764"/>
        <v>2020</v>
      </c>
      <c r="BB49">
        <f t="shared" si="1764"/>
        <v>2021</v>
      </c>
      <c r="BC49">
        <f t="shared" si="1764"/>
        <v>2022</v>
      </c>
      <c r="BD49">
        <f t="shared" si="1764"/>
        <v>2023</v>
      </c>
      <c r="BE49">
        <f t="shared" si="1764"/>
        <v>2024</v>
      </c>
      <c r="BF49">
        <f t="shared" si="1764"/>
        <v>2025</v>
      </c>
      <c r="BG49">
        <f t="shared" si="1764"/>
        <v>2026</v>
      </c>
      <c r="BH49">
        <f t="shared" si="1764"/>
        <v>2027</v>
      </c>
      <c r="BI49">
        <f t="shared" si="1764"/>
        <v>2028</v>
      </c>
      <c r="BJ49">
        <f t="shared" si="1764"/>
        <v>2029</v>
      </c>
      <c r="BK49">
        <f t="shared" si="1764"/>
        <v>2030</v>
      </c>
      <c r="BL49">
        <f t="shared" si="1764"/>
        <v>2031</v>
      </c>
      <c r="BM49">
        <v>2040</v>
      </c>
      <c r="BN49">
        <v>2050</v>
      </c>
      <c r="BP49">
        <f>AQ49</f>
        <v>2010</v>
      </c>
      <c r="BQ49">
        <f t="shared" ref="BQ49" si="1765">AR49</f>
        <v>2011</v>
      </c>
      <c r="BR49">
        <f t="shared" ref="BR49" si="1766">AS49</f>
        <v>2012</v>
      </c>
      <c r="BS49">
        <f t="shared" ref="BS49" si="1767">AT49</f>
        <v>2013</v>
      </c>
      <c r="BT49">
        <f t="shared" ref="BT49" si="1768">AU49</f>
        <v>2014</v>
      </c>
      <c r="BU49">
        <f t="shared" ref="BU49" si="1769">AV49</f>
        <v>2015</v>
      </c>
      <c r="BV49">
        <f t="shared" ref="BV49" si="1770">AW49</f>
        <v>2016</v>
      </c>
      <c r="BW49">
        <f t="shared" ref="BW49" si="1771">AX49</f>
        <v>2017</v>
      </c>
      <c r="BX49">
        <f t="shared" ref="BX49" si="1772">AY49</f>
        <v>2018</v>
      </c>
      <c r="BY49">
        <f t="shared" ref="BY49" si="1773">AZ49</f>
        <v>2019</v>
      </c>
      <c r="BZ49">
        <f t="shared" ref="BZ49" si="1774">BA49</f>
        <v>2020</v>
      </c>
      <c r="CA49">
        <f t="shared" ref="CA49" si="1775">BB49</f>
        <v>2021</v>
      </c>
      <c r="CB49">
        <f t="shared" ref="CB49" si="1776">BC49</f>
        <v>2022</v>
      </c>
      <c r="CC49">
        <f t="shared" ref="CC49" si="1777">BD49</f>
        <v>2023</v>
      </c>
      <c r="CD49">
        <f t="shared" ref="CD49" si="1778">BE49</f>
        <v>2024</v>
      </c>
      <c r="CE49">
        <f t="shared" ref="CE49" si="1779">BF49</f>
        <v>2025</v>
      </c>
      <c r="CF49">
        <f t="shared" ref="CF49" si="1780">BG49</f>
        <v>2026</v>
      </c>
      <c r="CG49">
        <f t="shared" ref="CG49" si="1781">BH49</f>
        <v>2027</v>
      </c>
      <c r="CH49">
        <f t="shared" ref="CH49" si="1782">BI49</f>
        <v>2028</v>
      </c>
      <c r="CI49">
        <f t="shared" ref="CI49" si="1783">BJ49</f>
        <v>2029</v>
      </c>
      <c r="CJ49">
        <f t="shared" ref="CJ49" si="1784">BK49</f>
        <v>2030</v>
      </c>
      <c r="CK49">
        <f t="shared" ref="CK49" si="1785">BL49</f>
        <v>2031</v>
      </c>
      <c r="CL49">
        <f t="shared" ref="CL49" si="1786">BM49</f>
        <v>2040</v>
      </c>
      <c r="CM49">
        <f t="shared" ref="CM49" si="1787">BN49</f>
        <v>2050</v>
      </c>
      <c r="CO49">
        <f>BP49</f>
        <v>2010</v>
      </c>
      <c r="CP49">
        <f t="shared" ref="CP49" si="1788">BQ49</f>
        <v>2011</v>
      </c>
      <c r="CQ49">
        <f t="shared" ref="CQ49" si="1789">BR49</f>
        <v>2012</v>
      </c>
      <c r="CR49">
        <f t="shared" ref="CR49" si="1790">BS49</f>
        <v>2013</v>
      </c>
      <c r="CS49">
        <f t="shared" ref="CS49" si="1791">BT49</f>
        <v>2014</v>
      </c>
      <c r="CT49">
        <f t="shared" ref="CT49" si="1792">BU49</f>
        <v>2015</v>
      </c>
      <c r="CU49">
        <f t="shared" ref="CU49" si="1793">BV49</f>
        <v>2016</v>
      </c>
      <c r="CV49">
        <f t="shared" ref="CV49" si="1794">BW49</f>
        <v>2017</v>
      </c>
      <c r="CW49">
        <f t="shared" ref="CW49" si="1795">BX49</f>
        <v>2018</v>
      </c>
      <c r="CX49">
        <f t="shared" ref="CX49" si="1796">BY49</f>
        <v>2019</v>
      </c>
      <c r="CY49">
        <f t="shared" ref="CY49" si="1797">BZ49</f>
        <v>2020</v>
      </c>
      <c r="CZ49">
        <f t="shared" ref="CZ49" si="1798">CA49</f>
        <v>2021</v>
      </c>
      <c r="DA49">
        <f t="shared" ref="DA49" si="1799">CB49</f>
        <v>2022</v>
      </c>
      <c r="DB49">
        <f t="shared" ref="DB49" si="1800">CC49</f>
        <v>2023</v>
      </c>
      <c r="DC49">
        <f t="shared" ref="DC49" si="1801">CD49</f>
        <v>2024</v>
      </c>
      <c r="DD49">
        <f t="shared" ref="DD49" si="1802">CE49</f>
        <v>2025</v>
      </c>
      <c r="DE49">
        <f>CF49</f>
        <v>2026</v>
      </c>
      <c r="DF49">
        <f t="shared" ref="DF49" si="1803">CG49</f>
        <v>2027</v>
      </c>
      <c r="DG49">
        <f t="shared" ref="DG49" si="1804">CH49</f>
        <v>2028</v>
      </c>
      <c r="DH49">
        <f>CI49</f>
        <v>2029</v>
      </c>
      <c r="DI49">
        <f t="shared" ref="DI49" si="1805">CJ49</f>
        <v>2030</v>
      </c>
      <c r="DJ49">
        <f>CK49</f>
        <v>2031</v>
      </c>
      <c r="DK49">
        <f>CL49</f>
        <v>2040</v>
      </c>
      <c r="DL49">
        <f t="shared" ref="DL49" si="1806">CM49</f>
        <v>2050</v>
      </c>
    </row>
    <row r="50" spans="1:141" x14ac:dyDescent="0.25">
      <c r="A50" t="str">
        <f t="shared" si="20"/>
        <v>Heavy IndustryTBN</v>
      </c>
      <c r="B50" t="str">
        <f t="shared" ref="B50:B52" si="1807">B45</f>
        <v>Heavy Industry</v>
      </c>
      <c r="C50" t="str">
        <f>IFERROR(VLOOKUP(D50,'For model'!$B$4:$C$16,2,FALSE),C49)</f>
        <v>TBN</v>
      </c>
      <c r="D50" t="s">
        <v>535</v>
      </c>
      <c r="E50" s="72">
        <v>0.1</v>
      </c>
      <c r="F50" s="72">
        <v>0.2</v>
      </c>
      <c r="G50" s="72">
        <v>0.3</v>
      </c>
      <c r="H50" s="72">
        <v>0.35</v>
      </c>
      <c r="I50" s="72">
        <v>0.4</v>
      </c>
      <c r="K50" s="72">
        <f>E50</f>
        <v>0.1</v>
      </c>
      <c r="L50" s="72">
        <f>($P50-$K50)/($P$4-$K$4)+K50</f>
        <v>0.12000000000000001</v>
      </c>
      <c r="M50" s="72">
        <f t="shared" ref="M50:O50" si="1808">($P50-$K50)/($P$4-$K$4)+L50</f>
        <v>0.14000000000000001</v>
      </c>
      <c r="N50" s="72">
        <f t="shared" si="1808"/>
        <v>0.16</v>
      </c>
      <c r="O50" s="72">
        <f t="shared" si="1808"/>
        <v>0.18</v>
      </c>
      <c r="P50" s="72">
        <f>F50</f>
        <v>0.2</v>
      </c>
      <c r="Q50" s="72">
        <f>($U50-$P50)/($U$4-$P$4)+P50</f>
        <v>0.22</v>
      </c>
      <c r="R50" s="72">
        <f t="shared" ref="R50:T50" si="1809">($U50-$P50)/($U$4-$P$4)+Q50</f>
        <v>0.24</v>
      </c>
      <c r="S50" s="72">
        <f t="shared" si="1809"/>
        <v>0.26</v>
      </c>
      <c r="T50" s="72">
        <f t="shared" si="1809"/>
        <v>0.28000000000000003</v>
      </c>
      <c r="U50" s="72">
        <f>G50</f>
        <v>0.3</v>
      </c>
      <c r="V50" s="72">
        <f>(AE50-U50)/(AE$4-U$4)+U50</f>
        <v>0.30499999999999999</v>
      </c>
      <c r="W50" s="72">
        <f>(AE50-U50)/(AE$4-U$4)+V50</f>
        <v>0.31</v>
      </c>
      <c r="X50" s="72">
        <f>(AE50-U50)/(AE$4-U$4)+W50</f>
        <v>0.315</v>
      </c>
      <c r="Y50" s="72">
        <f>(AE50-U50)/(AE$4-U$4)+X50</f>
        <v>0.32</v>
      </c>
      <c r="Z50" s="72">
        <f>(AE50-U50)/(AE$4-U$4)+Y50</f>
        <v>0.32500000000000001</v>
      </c>
      <c r="AA50" s="72">
        <f>(AE50-U50)/(AE$4-U$4)+Z50</f>
        <v>0.33</v>
      </c>
      <c r="AB50" s="72">
        <f>(AE50-U50)/(AE$4-U$4)+AA50</f>
        <v>0.33500000000000002</v>
      </c>
      <c r="AC50" s="72">
        <f>(AE50-U50)/(AE$4-U$4)+AB50</f>
        <v>0.34</v>
      </c>
      <c r="AD50" s="72">
        <f>(AE50-U50)/(AE$4-U$4)+AC50</f>
        <v>0.34500000000000003</v>
      </c>
      <c r="AE50" s="72">
        <f>H50</f>
        <v>0.35</v>
      </c>
      <c r="AF50" s="72">
        <f>(AH50-AE50)/(AH$4-AE$4)+AE50</f>
        <v>0.35249999999999998</v>
      </c>
      <c r="AG50" s="72">
        <f>(AE50+AH50)/2</f>
        <v>0.375</v>
      </c>
      <c r="AH50" s="72">
        <f>I50</f>
        <v>0.4</v>
      </c>
      <c r="AJ50" s="115">
        <f ca="1">SUMIF(SourceData!$Y$3:$AK$3,$C49,SourceData!$Y$1:$AK$1)</f>
        <v>0.22099999999999997</v>
      </c>
      <c r="AK50" s="72">
        <v>0.05</v>
      </c>
      <c r="AL50" s="94">
        <v>0.02</v>
      </c>
      <c r="AM50" s="72">
        <f>AL50</f>
        <v>0.02</v>
      </c>
      <c r="AN50" s="72">
        <v>0</v>
      </c>
      <c r="AO50" s="72">
        <v>0</v>
      </c>
      <c r="AP50" s="118" t="str">
        <f>AQ50&amp;" "&amp;AR50&amp;" "&amp;AS50&amp;" "&amp;AT50&amp;" "&amp;AU50&amp;" "&amp;AV50&amp;" "&amp;AW50&amp;" "&amp;AX50&amp;" "&amp;AY50&amp;" "&amp;AZ50&amp;" "&amp;BA50&amp;" "&amp;BB50&amp;" "&amp;BC50&amp;" "&amp;BD50&amp;" "&amp;BE50&amp;" "&amp;BF50&amp;" "&amp;BG50&amp;" "&amp;BH50&amp;" "&amp;BI50&amp;" "&amp;BJ50&amp;" "&amp;BK50&amp;" "&amp;BL50&amp;" "&amp;BM50&amp;" "&amp;BN50&amp;" "</f>
        <v xml:space="preserve">0.02 0.02 0.02 0.02 0.02 0.02 0.02 0.02 0.02 0.02 0.02 0.018 0.016 0.014 0.012 0.01 0.008 0.006 0.004 0.002 0 0 0 0 </v>
      </c>
      <c r="AQ50" s="72">
        <f>AL50</f>
        <v>0.02</v>
      </c>
      <c r="AR50" s="72">
        <f>(BA50-AQ50)/(BA$4-AQ$4)+AQ50</f>
        <v>0.02</v>
      </c>
      <c r="AS50" s="72">
        <f>(BA50-AQ50)/(BA$4-AQ$4)+AR50</f>
        <v>0.02</v>
      </c>
      <c r="AT50" s="72">
        <f>(BA50-AQ50)/(BA$4-AQ$4)+AS50</f>
        <v>0.02</v>
      </c>
      <c r="AU50" s="72">
        <f>(BA50-AQ50)/(BA$4-AQ$4)+AT50</f>
        <v>0.02</v>
      </c>
      <c r="AV50" s="72">
        <f>(BA50-AQ50)/(BA$4-AQ$4)+AU50</f>
        <v>0.02</v>
      </c>
      <c r="AW50" s="72">
        <f>(BA50-AQ50)/(BA$4-AQ$4)+AV50</f>
        <v>0.02</v>
      </c>
      <c r="AX50" s="72">
        <f>(BA50-AQ50)/(BA$4-AQ$4)+AW50</f>
        <v>0.02</v>
      </c>
      <c r="AY50" s="72">
        <f>(BA50-AQ50)/(BA$4-AQ$4)+AX50</f>
        <v>0.02</v>
      </c>
      <c r="AZ50" s="72">
        <f>(BA50-AQ50)/(BA$4-AQ$4)+AY50</f>
        <v>0.02</v>
      </c>
      <c r="BA50" s="72">
        <f>AM50</f>
        <v>0.02</v>
      </c>
      <c r="BB50" s="72">
        <f>(BK50-BA50)/(BK$4-BA$4)+BA50</f>
        <v>1.8000000000000002E-2</v>
      </c>
      <c r="BC50" s="72">
        <f>(BK50-BA50)/(BK$4-BA$4)+BB50</f>
        <v>1.6E-2</v>
      </c>
      <c r="BD50" s="72">
        <f>(BK50-BA50)/(BK$4-BA$4)+BC50</f>
        <v>1.4E-2</v>
      </c>
      <c r="BE50" s="72">
        <f>(BK50-BA50)/(BK$4-BA$4)+BD50</f>
        <v>1.2E-2</v>
      </c>
      <c r="BF50" s="72">
        <f>(BK50-BA50)/(BK$4-BA$4)+BE50</f>
        <v>0.01</v>
      </c>
      <c r="BG50" s="72">
        <f>(BK50-BA50)/(BK$4-BA$4)+BF50</f>
        <v>8.0000000000000002E-3</v>
      </c>
      <c r="BH50" s="72">
        <f>(BK50-BA50)/(BK$4-BA$4)+BG50</f>
        <v>6.0000000000000001E-3</v>
      </c>
      <c r="BI50" s="72">
        <f>(BK50-BA50)/(BK$4-BA$4)+BH50</f>
        <v>4.0000000000000001E-3</v>
      </c>
      <c r="BJ50" s="72">
        <f>(BK50-BA50)/(BK$4-BA$4)+BI50</f>
        <v>2E-3</v>
      </c>
      <c r="BK50" s="72">
        <f>AN50</f>
        <v>0</v>
      </c>
      <c r="BL50" s="72">
        <f>(BN50-BK50)/(BN$4-BK$4)+BK50</f>
        <v>0</v>
      </c>
      <c r="BM50" s="72">
        <f>(BK50+BN50)/2</f>
        <v>0</v>
      </c>
      <c r="BN50" s="72">
        <f>AO50</f>
        <v>0</v>
      </c>
      <c r="BO50">
        <f>SUMIF(SourceData!$BD$3:$BP$3,$C49,SourceData!$BD$1:$BP$1)</f>
        <v>0</v>
      </c>
      <c r="BP50" s="84">
        <f ca="1">IF($BO50,OFFSET(SourceData!$BC$4,MATCH(BP49,SourceData!$BC$5:$BC$28,0),MATCH($C53,SourceData!$BD$3:$BP$3,0)),K50*K53)</f>
        <v>208.3</v>
      </c>
      <c r="BQ50" s="84">
        <f ca="1">IF($BO50,OFFSET(SourceData!$BC$4,MATCH(BQ49,SourceData!$BC$5:$BC$28,0),MATCH($C53,SourceData!$BD$3:$BP$3,0)),L50*L53)</f>
        <v>285.96000000000004</v>
      </c>
      <c r="BR50" s="84">
        <f ca="1">IF($BO50,OFFSET(SourceData!$BC$4,MATCH(BR49,SourceData!$BC$5:$BC$28,0),MATCH($C53,SourceData!$BD$3:$BP$3,0)),M50*M53)</f>
        <v>386.82000000000005</v>
      </c>
      <c r="BS50" s="84">
        <f ca="1">IF($BO50,OFFSET(SourceData!$BC$4,MATCH(BS49,SourceData!$BC$5:$BC$28,0),MATCH($C53,SourceData!$BD$3:$BP$3,0)),N50*N53)</f>
        <v>480.64</v>
      </c>
      <c r="BT50" s="84">
        <f ca="1">IF($BO50,OFFSET(SourceData!$BC$4,MATCH(BT49,SourceData!$BC$5:$BC$28,0),MATCH($C53,SourceData!$BD$3:$BP$3,0)),O50*O53)</f>
        <v>588.24</v>
      </c>
      <c r="BU50" s="84">
        <f ca="1">IF($BO50,OFFSET(SourceData!$BC$4,MATCH(BU49,SourceData!$BC$5:$BC$28,0),MATCH($C53,SourceData!$BD$3:$BP$3,0)),P50*P53)</f>
        <v>709.40000000000009</v>
      </c>
      <c r="BV50" s="84">
        <f ca="1">IF($BO50,OFFSET(SourceData!$BC$4,MATCH(BV49,SourceData!$BC$5:$BC$28,0),MATCH($C53,SourceData!$BD$3:$BP$3,0)),Q50*Q53)</f>
        <v>845.02</v>
      </c>
      <c r="BW50" s="84">
        <f ca="1">IF($BO50,OFFSET(SourceData!$BC$4,MATCH(BW49,SourceData!$BC$5:$BC$28,0),MATCH($C53,SourceData!$BD$3:$BP$3,0)),R50*R53)</f>
        <v>996.24</v>
      </c>
      <c r="BX50" s="84">
        <f ca="1">IF($BO50,OFFSET(SourceData!$BC$4,MATCH(BX49,SourceData!$BC$5:$BC$28,0),MATCH($C53,SourceData!$BD$3:$BP$3,0)),S50*S53)</f>
        <v>1164.28</v>
      </c>
      <c r="BY50" s="84">
        <f ca="1">IF($BO50,OFFSET(SourceData!$BC$4,MATCH(BY49,SourceData!$BC$5:$BC$28,0),MATCH($C53,SourceData!$BD$3:$BP$3,0)),T50*T53)</f>
        <v>1350.16</v>
      </c>
      <c r="BZ50" s="84">
        <f ca="1">IF($BO50,OFFSET(SourceData!$BC$4,MATCH(BZ49,SourceData!$BC$5:$BC$28,0),MATCH($C53,SourceData!$BD$3:$BP$3,0)),U50*U53)</f>
        <v>1555.5</v>
      </c>
      <c r="CA50" s="84">
        <f ca="1">IF($BO50,OFFSET(SourceData!$BC$4,MATCH(CA49,SourceData!$BC$5:$BC$28,0),MATCH($C53,SourceData!$BD$3:$BP$3,0)),V50*V53)</f>
        <v>1697.9349999999999</v>
      </c>
      <c r="CB50" s="84">
        <f ca="1">IF($BO50,OFFSET(SourceData!$BC$4,MATCH(CB49,SourceData!$BC$5:$BC$28,0),MATCH($C53,SourceData!$BD$3:$BP$3,0)),W50*W53)</f>
        <v>1851.01</v>
      </c>
      <c r="CC50" s="84">
        <f ca="1">IF($BO50,OFFSET(SourceData!$BC$4,MATCH(CC49,SourceData!$BC$5:$BC$28,0),MATCH($C53,SourceData!$BD$3:$BP$3,0)),X50*X53)</f>
        <v>2014.425</v>
      </c>
      <c r="CD50" s="84">
        <f ca="1">IF($BO50,OFFSET(SourceData!$BC$4,MATCH(CD49,SourceData!$BC$5:$BC$28,0),MATCH($C53,SourceData!$BD$3:$BP$3,0)),Y50*Y53)</f>
        <v>2189.44</v>
      </c>
      <c r="CE50" s="84">
        <f ca="1">IF($BO50,OFFSET(SourceData!$BC$4,MATCH(CE49,SourceData!$BC$5:$BC$28,0),MATCH($C53,SourceData!$BD$3:$BP$3,0)),Z50*Z53)</f>
        <v>2377.0500000000002</v>
      </c>
      <c r="CF50" s="84">
        <f ca="1">IF($BO50,OFFSET(SourceData!$BC$4,MATCH(CF49,SourceData!$BC$5:$BC$28,0),MATCH($C53,SourceData!$BD$3:$BP$3,0)),AA50*AA53)</f>
        <v>2576.8121427281308</v>
      </c>
      <c r="CG50" s="84">
        <f ca="1">IF($BO50,OFFSET(SourceData!$BC$4,MATCH(CG49,SourceData!$BC$5:$BC$28,0),MATCH($C53,SourceData!$BD$3:$BP$3,0)),AB50*AB53)</f>
        <v>2789.5687758031222</v>
      </c>
      <c r="CH50" s="84">
        <f ca="1">IF($BO50,OFFSET(SourceData!$BC$4,MATCH(CH49,SourceData!$BC$5:$BC$28,0),MATCH($C53,SourceData!$BD$3:$BP$3,0)),AC50*AC53)</f>
        <v>3015.8078121463959</v>
      </c>
      <c r="CI50" s="84">
        <f ca="1">IF($BO50,OFFSET(SourceData!$BC$4,MATCH(CI49,SourceData!$BC$5:$BC$28,0),MATCH($C53,SourceData!$BD$3:$BP$3,0)),AD50*AD53)</f>
        <v>3256.002980155316</v>
      </c>
      <c r="CJ50" s="84">
        <f ca="1">IF($BO50,OFFSET(SourceData!$BC$4,MATCH(CJ49,SourceData!$BC$5:$BC$28,0),MATCH($C53,SourceData!$BD$3:$BP$3,0)),AE50*AE53)</f>
        <v>3471.1018800188622</v>
      </c>
      <c r="CK50" s="84">
        <f ca="1">IF($BO50,OFFSET(SourceData!$BC$4,MATCH(CK49,SourceData!$BC$5:$BC$28,0),MATCH($C53,SourceData!$BD$3:$BP$3,0)),AF50*AF53)</f>
        <v>3715.4148267768192</v>
      </c>
      <c r="CL50" s="84">
        <f ca="1">IF($BO50,OFFSET(SourceData!$BC$4,MATCH(CL49,SourceData!$BC$5:$BC$28,0),MATCH($C53,SourceData!$BD$3:$BP$3,0)),AG50*AG53)</f>
        <v>6837.8458355492003</v>
      </c>
      <c r="CM50" s="84">
        <f ca="1">IF($BO50,OFFSET(SourceData!$BC$4,MATCH(CM49,SourceData!$BC$5:$BC$28,0),MATCH($C53,SourceData!$BD$3:$BP$3,0)),AH50*AH53)</f>
        <v>13410.246150153076</v>
      </c>
      <c r="CN50" s="118" t="str">
        <f t="shared" ref="CN50:CN52" ca="1" si="1810">CO50&amp;" "&amp;CP50&amp;" "&amp;CQ50&amp;" "&amp;CR50&amp;" "&amp;CS50&amp;" "&amp;CT50&amp;" "&amp;CU50&amp;" "&amp;CV50&amp;" "&amp;CW50&amp;" "&amp;CX50&amp;" "&amp;CY50&amp;" "&amp;CZ50&amp;" "&amp;DA50&amp;" "&amp;DB50&amp;" "&amp;DC50&amp;" "&amp;DD50&amp;" "&amp;DE50&amp;" "&amp;DF50&amp;" "&amp;DG50&amp;" "&amp;DH50&amp;" "&amp;DI50&amp;" "&amp;DJ50&amp;" "&amp;DK50&amp;" "&amp;DL50&amp;" "</f>
        <v xml:space="preserve">22.1 30.4 41.1 51.1 62.5 75.4 89.8 105.9 123.7 143.5 165.3 180.8 197.5 215.4 234.6 255.2 277.2 300.7 325.7 352.4 376.4 402.9 741.5 1454.3 </v>
      </c>
      <c r="CO50" s="117">
        <f ca="1">ROUND(BP50*(1-AQ50)*(1-$AK50)/8.76,1)</f>
        <v>22.1</v>
      </c>
      <c r="CP50" s="117">
        <f t="shared" ref="CP50:CP52" ca="1" si="1811">ROUND(BQ50*(1-AR50)*(1-$AK50)/8.76,1)</f>
        <v>30.4</v>
      </c>
      <c r="CQ50" s="117">
        <f t="shared" ref="CQ50:CQ52" ca="1" si="1812">ROUND(BR50*(1-AS50)*(1-$AK50)/8.76,1)</f>
        <v>41.1</v>
      </c>
      <c r="CR50" s="117">
        <f t="shared" ref="CR50:CR52" ca="1" si="1813">ROUND(BS50*(1-AT50)*(1-$AK50)/8.76,1)</f>
        <v>51.1</v>
      </c>
      <c r="CS50" s="117">
        <f t="shared" ref="CS50:CS52" ca="1" si="1814">ROUND(BT50*(1-AU50)*(1-$AK50)/8.76,1)</f>
        <v>62.5</v>
      </c>
      <c r="CT50" s="117">
        <f t="shared" ref="CT50:CT52" ca="1" si="1815">ROUND(BU50*(1-AV50)*(1-$AK50)/8.76,1)</f>
        <v>75.400000000000006</v>
      </c>
      <c r="CU50" s="117">
        <f t="shared" ref="CU50:CU52" ca="1" si="1816">ROUND(BV50*(1-AW50)*(1-$AK50)/8.76,1)</f>
        <v>89.8</v>
      </c>
      <c r="CV50" s="117">
        <f t="shared" ref="CV50:CV52" ca="1" si="1817">ROUND(BW50*(1-AX50)*(1-$AK50)/8.76,1)</f>
        <v>105.9</v>
      </c>
      <c r="CW50" s="117">
        <f t="shared" ref="CW50:CW52" ca="1" si="1818">ROUND(BX50*(1-AY50)*(1-$AK50)/8.76,1)</f>
        <v>123.7</v>
      </c>
      <c r="CX50" s="117">
        <f t="shared" ref="CX50:CX52" ca="1" si="1819">ROUND(BY50*(1-AZ50)*(1-$AK50)/8.76,1)</f>
        <v>143.5</v>
      </c>
      <c r="CY50" s="117">
        <f t="shared" ref="CY50:CY52" ca="1" si="1820">ROUND(BZ50*(1-BA50)*(1-$AK50)/8.76,1)</f>
        <v>165.3</v>
      </c>
      <c r="CZ50" s="117">
        <f t="shared" ref="CZ50:CZ52" ca="1" si="1821">ROUND(CA50*(1-BB50)*(1-$AK50)/8.76,1)</f>
        <v>180.8</v>
      </c>
      <c r="DA50" s="117">
        <f t="shared" ref="DA50:DA52" ca="1" si="1822">ROUND(CB50*(1-BC50)*(1-$AK50)/8.76,1)</f>
        <v>197.5</v>
      </c>
      <c r="DB50" s="117">
        <f t="shared" ref="DB50:DB52" ca="1" si="1823">ROUND(CC50*(1-BD50)*(1-$AK50)/8.76,1)</f>
        <v>215.4</v>
      </c>
      <c r="DC50" s="117">
        <f t="shared" ref="DC50:DC52" ca="1" si="1824">ROUND(CD50*(1-BE50)*(1-$AK50)/8.76,1)</f>
        <v>234.6</v>
      </c>
      <c r="DD50" s="117">
        <f t="shared" ref="DD50:DD52" ca="1" si="1825">ROUND(CE50*(1-BF50)*(1-$AK50)/8.76,1)</f>
        <v>255.2</v>
      </c>
      <c r="DE50" s="117">
        <f ca="1">ROUND(CF50*(1-BG50)*(1-$AK50)/8.76,1)</f>
        <v>277.2</v>
      </c>
      <c r="DF50" s="117">
        <f t="shared" ref="DF50:DF52" ca="1" si="1826">ROUND(CG50*(1-BH50)*(1-$AK50)/8.76,1)</f>
        <v>300.7</v>
      </c>
      <c r="DG50" s="117">
        <f t="shared" ref="DG50:DG52" ca="1" si="1827">ROUND(CH50*(1-BI50)*(1-$AK50)/8.76,1)</f>
        <v>325.7</v>
      </c>
      <c r="DH50" s="117">
        <f ca="1">ROUND(CI50*(1-BJ50)*(1-$AK50)/8.76,1)</f>
        <v>352.4</v>
      </c>
      <c r="DI50" s="117">
        <f t="shared" ref="DI50:DI52" ca="1" si="1828">ROUND(CJ50*(1-BK50)*(1-$AK50)/8.76,1)</f>
        <v>376.4</v>
      </c>
      <c r="DJ50" s="117">
        <f ca="1">ROUND(CK50*(1-BL50)*(1-$AK50)/8.76,1)</f>
        <v>402.9</v>
      </c>
      <c r="DK50" s="117">
        <f ca="1">ROUND(CL50*(1-BM50)*(1-$AK50)/8.76,1)</f>
        <v>741.5</v>
      </c>
      <c r="DL50" s="117">
        <f t="shared" ref="DL50:DL52" ca="1" si="1829">ROUND(CM50*(1-BN50)*(1-$AK50)/8.76,1)</f>
        <v>1454.3</v>
      </c>
      <c r="DM50" s="118" t="str">
        <f t="shared" ref="DM50:DM52" si="1830">DN50&amp;" "&amp;DO50&amp;" "&amp;DP50&amp;" "&amp;DQ50&amp;" "&amp;DR50&amp;" "&amp;DS50&amp;" "&amp;DT50&amp;" "&amp;DU50&amp;" "&amp;DV50&amp;" "&amp;DW50&amp;" "&amp;DX50&amp;" "&amp;DY50&amp;" "&amp;DZ50&amp;" "&amp;EA50&amp;" "&amp;EB50&amp;" "&amp;EC50&amp;" "&amp;ED50&amp;" "&amp;EE50&amp;" "&amp;EF50&amp;" "&amp;EG50&amp;" "&amp;EH50&amp;" "&amp;EI50&amp;" "&amp;EJ50&amp;" "&amp;EK50&amp;" "</f>
        <v xml:space="preserve">0.98 0.98 0.98 0.98 0.98 0.98 0.98 0.98 0.98 0.98 0.98 0.982 0.984 0.986 0.988 0.99 0.992 0.994 0.996 0.998 1 1 1 1 </v>
      </c>
      <c r="DN50" s="72">
        <f>1-AQ50</f>
        <v>0.98</v>
      </c>
      <c r="DO50" s="72">
        <f t="shared" ref="DO50:DO52" si="1831">1-AR50</f>
        <v>0.98</v>
      </c>
      <c r="DP50" s="72">
        <f t="shared" ref="DP50:DP52" si="1832">1-AS50</f>
        <v>0.98</v>
      </c>
      <c r="DQ50" s="72">
        <f t="shared" ref="DQ50:DQ52" si="1833">1-AT50</f>
        <v>0.98</v>
      </c>
      <c r="DR50" s="72">
        <f t="shared" ref="DR50:DR52" si="1834">1-AU50</f>
        <v>0.98</v>
      </c>
      <c r="DS50" s="72">
        <f t="shared" ref="DS50:DS52" si="1835">1-AV50</f>
        <v>0.98</v>
      </c>
      <c r="DT50" s="72">
        <f t="shared" ref="DT50:DT52" si="1836">1-AW50</f>
        <v>0.98</v>
      </c>
      <c r="DU50" s="72">
        <f t="shared" ref="DU50:DU52" si="1837">1-AX50</f>
        <v>0.98</v>
      </c>
      <c r="DV50" s="72">
        <f t="shared" ref="DV50:DV52" si="1838">1-AY50</f>
        <v>0.98</v>
      </c>
      <c r="DW50" s="72">
        <f t="shared" ref="DW50:DW52" si="1839">1-AZ50</f>
        <v>0.98</v>
      </c>
      <c r="DX50" s="72">
        <f t="shared" ref="DX50:DX52" si="1840">1-BA50</f>
        <v>0.98</v>
      </c>
      <c r="DY50" s="72">
        <f t="shared" ref="DY50:DY52" si="1841">1-BB50</f>
        <v>0.98199999999999998</v>
      </c>
      <c r="DZ50" s="72">
        <f t="shared" ref="DZ50:DZ52" si="1842">1-BC50</f>
        <v>0.98399999999999999</v>
      </c>
      <c r="EA50" s="72">
        <f t="shared" ref="EA50:EA52" si="1843">1-BD50</f>
        <v>0.98599999999999999</v>
      </c>
      <c r="EB50" s="72">
        <f t="shared" ref="EB50:EB52" si="1844">1-BE50</f>
        <v>0.98799999999999999</v>
      </c>
      <c r="EC50" s="72">
        <f t="shared" ref="EC50:EC52" si="1845">1-BF50</f>
        <v>0.99</v>
      </c>
      <c r="ED50" s="72">
        <f t="shared" ref="ED50:ED52" si="1846">1-BG50</f>
        <v>0.99199999999999999</v>
      </c>
      <c r="EE50" s="72">
        <f t="shared" ref="EE50:EE52" si="1847">1-BH50</f>
        <v>0.99399999999999999</v>
      </c>
      <c r="EF50" s="72">
        <f t="shared" ref="EF50:EF52" si="1848">1-BI50</f>
        <v>0.996</v>
      </c>
      <c r="EG50" s="72">
        <f t="shared" ref="EG50:EG52" si="1849">1-BJ50</f>
        <v>0.998</v>
      </c>
      <c r="EH50" s="72">
        <f t="shared" ref="EH50:EH52" si="1850">1-BK50</f>
        <v>1</v>
      </c>
      <c r="EI50" s="72">
        <f t="shared" ref="EI50:EI52" si="1851">1-BL50</f>
        <v>1</v>
      </c>
      <c r="EJ50" s="72">
        <f t="shared" ref="EJ50:EJ52" si="1852">1-BM50</f>
        <v>1</v>
      </c>
      <c r="EK50" s="72">
        <f t="shared" ref="EK50:EK52" si="1853">1-BN50</f>
        <v>1</v>
      </c>
    </row>
    <row r="51" spans="1:141" x14ac:dyDescent="0.25">
      <c r="A51" t="str">
        <f t="shared" si="20"/>
        <v>UrbanTBN</v>
      </c>
      <c r="B51" t="str">
        <f t="shared" si="1807"/>
        <v>Urban</v>
      </c>
      <c r="C51" t="str">
        <f>IFERROR(VLOOKUP(D51,'For model'!$B$4:$C$16,2,FALSE),C50)</f>
        <v>TBN</v>
      </c>
      <c r="D51" t="s">
        <v>536</v>
      </c>
      <c r="E51" s="72">
        <f>1-E50-E52</f>
        <v>0.88</v>
      </c>
      <c r="F51" s="72">
        <f>1-F50-F52</f>
        <v>0.77</v>
      </c>
      <c r="G51" s="72">
        <f t="shared" ref="G51:H51" si="1854">1-G50-G52</f>
        <v>0.66999999999999993</v>
      </c>
      <c r="H51" s="72">
        <f t="shared" si="1854"/>
        <v>0.6</v>
      </c>
      <c r="I51" s="72">
        <f t="shared" ref="I51" si="1855">1-I50-I52</f>
        <v>0.54999999999999993</v>
      </c>
      <c r="K51" s="72">
        <f t="shared" ref="K51:K52" si="1856">E51</f>
        <v>0.88</v>
      </c>
      <c r="L51" s="72">
        <f t="shared" ref="L51:O51" si="1857">($P51-$K51)/($P$4-$K$4)+K51</f>
        <v>0.85799999999999998</v>
      </c>
      <c r="M51" s="72">
        <f t="shared" si="1857"/>
        <v>0.83599999999999997</v>
      </c>
      <c r="N51" s="72">
        <f t="shared" si="1857"/>
        <v>0.81399999999999995</v>
      </c>
      <c r="O51" s="72">
        <f t="shared" si="1857"/>
        <v>0.79199999999999993</v>
      </c>
      <c r="P51" s="72">
        <f t="shared" ref="P51:P52" si="1858">F51</f>
        <v>0.77</v>
      </c>
      <c r="Q51" s="72">
        <f t="shared" ref="Q51:T51" si="1859">($U51-$P51)/($U$4-$P$4)+P51</f>
        <v>0.75</v>
      </c>
      <c r="R51" s="72">
        <f t="shared" si="1859"/>
        <v>0.73</v>
      </c>
      <c r="S51" s="72">
        <f t="shared" si="1859"/>
        <v>0.71</v>
      </c>
      <c r="T51" s="72">
        <f t="shared" si="1859"/>
        <v>0.69</v>
      </c>
      <c r="U51" s="72">
        <f t="shared" ref="U51:U52" si="1860">G51</f>
        <v>0.66999999999999993</v>
      </c>
      <c r="V51" s="72">
        <f t="shared" ref="V51:V52" si="1861">(AE51-U51)/(AE$4-U$4)+U51</f>
        <v>0.66299999999999992</v>
      </c>
      <c r="W51" s="72">
        <f t="shared" ref="W51:W52" si="1862">(AE51-U51)/(AE$4-U$4)+V51</f>
        <v>0.65599999999999992</v>
      </c>
      <c r="X51" s="72">
        <f t="shared" ref="X51:X52" si="1863">(AE51-U51)/(AE$4-U$4)+W51</f>
        <v>0.64899999999999991</v>
      </c>
      <c r="Y51" s="72">
        <f t="shared" ref="Y51:Y52" si="1864">(AE51-U51)/(AE$4-U$4)+X51</f>
        <v>0.6419999999999999</v>
      </c>
      <c r="Z51" s="72">
        <f t="shared" ref="Z51:Z52" si="1865">(AE51-U51)/(AE$4-U$4)+Y51</f>
        <v>0.6349999999999999</v>
      </c>
      <c r="AA51" s="72">
        <f t="shared" ref="AA51:AA52" si="1866">(AE51-U51)/(AE$4-U$4)+Z51</f>
        <v>0.62799999999999989</v>
      </c>
      <c r="AB51" s="72">
        <f t="shared" ref="AB51:AB52" si="1867">(AE51-U51)/(AE$4-U$4)+AA51</f>
        <v>0.62099999999999989</v>
      </c>
      <c r="AC51" s="72">
        <f t="shared" ref="AC51:AC52" si="1868">(AE51-U51)/(AE$4-U$4)+AB51</f>
        <v>0.61399999999999988</v>
      </c>
      <c r="AD51" s="72">
        <f t="shared" ref="AD51:AD52" si="1869">(AE51-U51)/(AE$4-U$4)+AC51</f>
        <v>0.60699999999999987</v>
      </c>
      <c r="AE51" s="72">
        <f t="shared" ref="AE51:AE52" si="1870">H51</f>
        <v>0.6</v>
      </c>
      <c r="AF51" s="72">
        <f>(AH51-AE51)/(AH$4-AE$4)+AE51</f>
        <v>0.59749999999999992</v>
      </c>
      <c r="AG51" s="72">
        <f t="shared" ref="AG51:AG52" si="1871">(AE51+AH51)/2</f>
        <v>0.57499999999999996</v>
      </c>
      <c r="AH51" s="72">
        <f>I51</f>
        <v>0.54999999999999993</v>
      </c>
      <c r="AJ51" s="72" t="s">
        <v>548</v>
      </c>
      <c r="AK51" s="72">
        <f>AK50</f>
        <v>0.05</v>
      </c>
      <c r="AL51" s="111">
        <f>AL41</f>
        <v>0.19500000000000001</v>
      </c>
      <c r="AM51" s="72">
        <v>0.1</v>
      </c>
      <c r="AN51" s="72">
        <v>0.08</v>
      </c>
      <c r="AO51" s="72">
        <f>AN51</f>
        <v>0.08</v>
      </c>
      <c r="AP51" s="118" t="str">
        <f>AQ51&amp;" "&amp;AR51&amp;" "&amp;AS51&amp;" "&amp;AT51&amp;" "&amp;AU51&amp;" "&amp;AV51&amp;" "&amp;AW51&amp;" "&amp;AX51&amp;" "&amp;AY51&amp;" "&amp;AZ51&amp;" "&amp;BA51&amp;" "&amp;BB51&amp;" "&amp;BC51&amp;" "&amp;BD51&amp;" "&amp;BE51&amp;" "&amp;BF51&amp;" "&amp;BG51&amp;" "&amp;BH51&amp;" "&amp;BI51&amp;" "&amp;BJ51&amp;" "&amp;BK51&amp;" "&amp;BL51&amp;" "&amp;BM51&amp;" "&amp;BN51&amp;" "</f>
        <v xml:space="preserve">0.195 0.1855 0.176 0.1665 0.157 0.1475 0.138 0.1285 0.119 0.1095 0.1 0.098 0.096 0.094 0.092 0.09 0.088 0.086 0.084 0.082 0.08 0.08 0.08 0.08 </v>
      </c>
      <c r="AQ51" s="72">
        <f t="shared" ref="AQ51:AQ52" si="1872">AL51</f>
        <v>0.19500000000000001</v>
      </c>
      <c r="AR51" s="72">
        <f t="shared" ref="AR51:AR52" si="1873">(BA51-AQ51)/(BA$4-AQ$4)+AQ51</f>
        <v>0.1855</v>
      </c>
      <c r="AS51" s="72">
        <f t="shared" ref="AS51:AS52" si="1874">(BA51-AQ51)/(BA$4-AQ$4)+AR51</f>
        <v>0.17599999999999999</v>
      </c>
      <c r="AT51" s="72">
        <f t="shared" ref="AT51:AT52" si="1875">(BA51-AQ51)/(BA$4-AQ$4)+AS51</f>
        <v>0.16649999999999998</v>
      </c>
      <c r="AU51" s="72">
        <f t="shared" ref="AU51:AU52" si="1876">(BA51-AQ51)/(BA$4-AQ$4)+AT51</f>
        <v>0.15699999999999997</v>
      </c>
      <c r="AV51" s="72">
        <f t="shared" ref="AV51:AV52" si="1877">(BA51-AQ51)/(BA$4-AQ$4)+AU51</f>
        <v>0.14749999999999996</v>
      </c>
      <c r="AW51" s="72">
        <f t="shared" ref="AW51:AW52" si="1878">(BA51-AQ51)/(BA$4-AQ$4)+AV51</f>
        <v>0.13799999999999996</v>
      </c>
      <c r="AX51" s="72">
        <f t="shared" ref="AX51:AX52" si="1879">(BA51-AQ51)/(BA$4-AQ$4)+AW51</f>
        <v>0.12849999999999995</v>
      </c>
      <c r="AY51" s="72">
        <f t="shared" ref="AY51:AY52" si="1880">(BA51-AQ51)/(BA$4-AQ$4)+AX51</f>
        <v>0.11899999999999995</v>
      </c>
      <c r="AZ51" s="72">
        <f t="shared" ref="AZ51:AZ52" si="1881">(BA51-AQ51)/(BA$4-AQ$4)+AY51</f>
        <v>0.10949999999999996</v>
      </c>
      <c r="BA51" s="72">
        <f t="shared" ref="BA51:BA52" si="1882">AM51</f>
        <v>0.1</v>
      </c>
      <c r="BB51" s="72">
        <f t="shared" ref="BB51:BB52" si="1883">(BK51-BA51)/(BK$4-BA$4)+BA51</f>
        <v>9.8000000000000004E-2</v>
      </c>
      <c r="BC51" s="72">
        <f t="shared" ref="BC51:BC52" si="1884">(BK51-BA51)/(BK$4-BA$4)+BB51</f>
        <v>9.6000000000000002E-2</v>
      </c>
      <c r="BD51" s="72">
        <f t="shared" ref="BD51:BD52" si="1885">(BK51-BA51)/(BK$4-BA$4)+BC51</f>
        <v>9.4E-2</v>
      </c>
      <c r="BE51" s="72">
        <f t="shared" ref="BE51:BE52" si="1886">(BK51-BA51)/(BK$4-BA$4)+BD51</f>
        <v>9.1999999999999998E-2</v>
      </c>
      <c r="BF51" s="72">
        <f t="shared" ref="BF51:BF52" si="1887">(BK51-BA51)/(BK$4-BA$4)+BE51</f>
        <v>0.09</v>
      </c>
      <c r="BG51" s="72">
        <f t="shared" ref="BG51:BG52" si="1888">(BK51-BA51)/(BK$4-BA$4)+BF51</f>
        <v>8.7999999999999995E-2</v>
      </c>
      <c r="BH51" s="72">
        <f t="shared" ref="BH51:BH52" si="1889">(BK51-BA51)/(BK$4-BA$4)+BG51</f>
        <v>8.5999999999999993E-2</v>
      </c>
      <c r="BI51" s="72">
        <f t="shared" ref="BI51:BI52" si="1890">(BK51-BA51)/(BK$4-BA$4)+BH51</f>
        <v>8.3999999999999991E-2</v>
      </c>
      <c r="BJ51" s="72">
        <f t="shared" ref="BJ51:BJ52" si="1891">(BK51-BA51)/(BK$4-BA$4)+BI51</f>
        <v>8.199999999999999E-2</v>
      </c>
      <c r="BK51" s="72">
        <f t="shared" ref="BK51:BK52" si="1892">AN51</f>
        <v>0.08</v>
      </c>
      <c r="BL51" s="72">
        <f>(BN51-BK51)/(BN$4-BK$4)+BK51</f>
        <v>0.08</v>
      </c>
      <c r="BM51" s="72">
        <f t="shared" ref="BM51:BM52" si="1893">(BK51+BN51)/2</f>
        <v>0.08</v>
      </c>
      <c r="BN51" s="72">
        <f>AO51</f>
        <v>0.08</v>
      </c>
      <c r="BP51" s="84">
        <f ca="1">K51/(K51+K52)*(K53-BP50)</f>
        <v>1833.04</v>
      </c>
      <c r="BQ51" s="84">
        <f t="shared" ref="BQ51" ca="1" si="1894">L51/(L51+L52)*(L53-BQ50)</f>
        <v>2044.6139999999998</v>
      </c>
      <c r="BR51" s="84">
        <f t="shared" ref="BR51" ca="1" si="1895">M51/(M51+M52)*(M53-BR50)</f>
        <v>2309.8679999999999</v>
      </c>
      <c r="BS51" s="84">
        <f t="shared" ref="BS51" ca="1" si="1896">N51/(N51+N52)*(N53-BS50)</f>
        <v>2445.2560000000003</v>
      </c>
      <c r="BT51" s="84">
        <f t="shared" ref="BT51" ca="1" si="1897">O51/(O51+O52)*(O53-BT50)</f>
        <v>2588.2560000000003</v>
      </c>
      <c r="BU51" s="84">
        <f t="shared" ref="BU51" ca="1" si="1898">P51/(P51+P52)*(P53-BU50)</f>
        <v>2731.19</v>
      </c>
      <c r="BV51" s="84">
        <f t="shared" ref="BV51" ca="1" si="1899">Q51/(Q51+Q52)*(Q53-BV50)</f>
        <v>2880.7499999999995</v>
      </c>
      <c r="BW51" s="84">
        <f t="shared" ref="BW51" ca="1" si="1900">R51/(R51+R52)*(R53-BW50)</f>
        <v>3030.23</v>
      </c>
      <c r="BX51" s="84">
        <f t="shared" ref="BX51" ca="1" si="1901">S51/(S51+S52)*(S53-BX50)</f>
        <v>3179.38</v>
      </c>
      <c r="BY51" s="84">
        <f t="shared" ref="BY51" ca="1" si="1902">T51/(T51+T52)*(T53-BY50)</f>
        <v>3327.18</v>
      </c>
      <c r="BZ51" s="84">
        <f t="shared" ref="BZ51" ca="1" si="1903">U51/(U51+U52)*(U53-BZ50)</f>
        <v>3473.95</v>
      </c>
      <c r="CA51" s="84">
        <f t="shared" ref="CA51" ca="1" si="1904">V51/(V51+V52)*(V53-CA50)</f>
        <v>3690.9209999999998</v>
      </c>
      <c r="CB51" s="84">
        <f t="shared" ref="CB51" ca="1" si="1905">W51/(W51+W52)*(W53-CB50)</f>
        <v>3916.9759999999997</v>
      </c>
      <c r="CC51" s="84">
        <f t="shared" ref="CC51" ca="1" si="1906">X51/(X51+X52)*(X53-CC50)</f>
        <v>4150.3549999999996</v>
      </c>
      <c r="CD51" s="84">
        <f t="shared" ref="CD51" ca="1" si="1907">Y51/(Y51+Y52)*(Y53-CD50)</f>
        <v>4392.5639999999994</v>
      </c>
      <c r="CE51" s="84">
        <f t="shared" ref="CE51" ca="1" si="1908">Z51/(Z51+Z52)*(Z53-CE50)</f>
        <v>4644.3899999999994</v>
      </c>
      <c r="CF51" s="84">
        <f t="shared" ref="CF51" ca="1" si="1909">AA51/(AA51+AA52)*(AA53-CF50)</f>
        <v>4903.7515928280773</v>
      </c>
      <c r="CG51" s="84">
        <f t="shared" ref="CG51" ca="1" si="1910">AB51/(AB51+AB52)*(AB53-CG50)</f>
        <v>5171.1110739514588</v>
      </c>
      <c r="CH51" s="84">
        <f t="shared" ref="CH51" ca="1" si="1911">AC51/(AC51+AC52)*(AC53-CH50)</f>
        <v>5446.194107817314</v>
      </c>
      <c r="CI51" s="84">
        <f t="shared" ref="CI51" ca="1" si="1912">AD51/(AD51+AD52)*(AD53-CI50)</f>
        <v>5728.6777071138458</v>
      </c>
      <c r="CJ51" s="84">
        <f t="shared" ref="CJ51" ca="1" si="1913">AE51/(AE51+AE52)*(AE53-CJ50)</f>
        <v>5950.4603657466205</v>
      </c>
      <c r="CK51" s="84">
        <f t="shared" ref="CK51" ca="1" si="1914">AF51/(AF51+AF52)*(AF53-CK50)</f>
        <v>6297.7598836855295</v>
      </c>
      <c r="CL51" s="84">
        <f t="shared" ref="CL51" ca="1" si="1915">AG51/(AG51+AG52)*(AG53-CL50)</f>
        <v>10484.696947842107</v>
      </c>
      <c r="CM51" s="84">
        <f t="shared" ref="CM51" ca="1" si="1916">AH51/(AH51+AH52)*(AH53-CM50)</f>
        <v>18439.088456460475</v>
      </c>
      <c r="CN51" s="118" t="str">
        <f t="shared" ca="1" si="1810"/>
        <v xml:space="preserve">160 180.6 206.4 221 236.6 252.5 269.3 286.4 303.8 321.3 339.1 361 384 407.8 432.5 458.3 485 512.6 541 570.3 593.7 628.3 1046.1 1839.7 </v>
      </c>
      <c r="CO51" s="117">
        <f t="shared" ref="CO51:CO52" ca="1" si="1917">ROUND(BP51*(1-AQ51)*(1-$AK51)/8.76,1)</f>
        <v>160</v>
      </c>
      <c r="CP51" s="117">
        <f t="shared" ca="1" si="1811"/>
        <v>180.6</v>
      </c>
      <c r="CQ51" s="117">
        <f t="shared" ca="1" si="1812"/>
        <v>206.4</v>
      </c>
      <c r="CR51" s="117">
        <f t="shared" ca="1" si="1813"/>
        <v>221</v>
      </c>
      <c r="CS51" s="117">
        <f t="shared" ca="1" si="1814"/>
        <v>236.6</v>
      </c>
      <c r="CT51" s="117">
        <f t="shared" ca="1" si="1815"/>
        <v>252.5</v>
      </c>
      <c r="CU51" s="117">
        <f t="shared" ca="1" si="1816"/>
        <v>269.3</v>
      </c>
      <c r="CV51" s="117">
        <f t="shared" ca="1" si="1817"/>
        <v>286.39999999999998</v>
      </c>
      <c r="CW51" s="117">
        <f t="shared" ca="1" si="1818"/>
        <v>303.8</v>
      </c>
      <c r="CX51" s="117">
        <f t="shared" ca="1" si="1819"/>
        <v>321.3</v>
      </c>
      <c r="CY51" s="117">
        <f t="shared" ca="1" si="1820"/>
        <v>339.1</v>
      </c>
      <c r="CZ51" s="117">
        <f t="shared" ca="1" si="1821"/>
        <v>361</v>
      </c>
      <c r="DA51" s="117">
        <f t="shared" ca="1" si="1822"/>
        <v>384</v>
      </c>
      <c r="DB51" s="117">
        <f t="shared" ca="1" si="1823"/>
        <v>407.8</v>
      </c>
      <c r="DC51" s="117">
        <f t="shared" ca="1" si="1824"/>
        <v>432.5</v>
      </c>
      <c r="DD51" s="117">
        <f t="shared" ca="1" si="1825"/>
        <v>458.3</v>
      </c>
      <c r="DE51" s="117">
        <f t="shared" ref="DE51:DE52" ca="1" si="1918">ROUND(CF51*(1-BG51)*(1-$AK51)/8.76,1)</f>
        <v>485</v>
      </c>
      <c r="DF51" s="117">
        <f t="shared" ca="1" si="1826"/>
        <v>512.6</v>
      </c>
      <c r="DG51" s="117">
        <f t="shared" ca="1" si="1827"/>
        <v>541</v>
      </c>
      <c r="DH51" s="117">
        <f t="shared" ref="DH51:DH52" ca="1" si="1919">ROUND(CI51*(1-BJ51)*(1-$AK51)/8.76,1)</f>
        <v>570.29999999999995</v>
      </c>
      <c r="DI51" s="117">
        <f t="shared" ca="1" si="1828"/>
        <v>593.70000000000005</v>
      </c>
      <c r="DJ51" s="117">
        <f t="shared" ref="DJ51:DJ52" ca="1" si="1920">ROUND(CK51*(1-BL51)*(1-$AK51)/8.76,1)</f>
        <v>628.29999999999995</v>
      </c>
      <c r="DK51" s="117">
        <f t="shared" ref="DK51:DK52" ca="1" si="1921">ROUND(CL51*(1-BM51)*(1-$AK51)/8.76,1)</f>
        <v>1046.0999999999999</v>
      </c>
      <c r="DL51" s="117">
        <f t="shared" ca="1" si="1829"/>
        <v>1839.7</v>
      </c>
      <c r="DM51" s="118" t="str">
        <f t="shared" si="1830"/>
        <v xml:space="preserve">0.805 0.8145 0.824 0.8335 0.843 0.8525 0.862 0.8715 0.881 0.8905 0.9 0.902 0.904 0.906 0.908 0.91 0.912 0.914 0.916 0.918 0.92 0.92 0.92 0.92 </v>
      </c>
      <c r="DN51" s="72">
        <f t="shared" ref="DN51:DN52" si="1922">1-AQ51</f>
        <v>0.80499999999999994</v>
      </c>
      <c r="DO51" s="72">
        <f t="shared" si="1831"/>
        <v>0.8145</v>
      </c>
      <c r="DP51" s="72">
        <f t="shared" si="1832"/>
        <v>0.82400000000000007</v>
      </c>
      <c r="DQ51" s="72">
        <f t="shared" si="1833"/>
        <v>0.83350000000000002</v>
      </c>
      <c r="DR51" s="72">
        <f t="shared" si="1834"/>
        <v>0.84299999999999997</v>
      </c>
      <c r="DS51" s="72">
        <f t="shared" si="1835"/>
        <v>0.85250000000000004</v>
      </c>
      <c r="DT51" s="72">
        <f t="shared" si="1836"/>
        <v>0.8620000000000001</v>
      </c>
      <c r="DU51" s="72">
        <f t="shared" si="1837"/>
        <v>0.87150000000000005</v>
      </c>
      <c r="DV51" s="72">
        <f t="shared" si="1838"/>
        <v>0.88100000000000001</v>
      </c>
      <c r="DW51" s="72">
        <f t="shared" si="1839"/>
        <v>0.89050000000000007</v>
      </c>
      <c r="DX51" s="72">
        <f t="shared" si="1840"/>
        <v>0.9</v>
      </c>
      <c r="DY51" s="72">
        <f t="shared" si="1841"/>
        <v>0.90200000000000002</v>
      </c>
      <c r="DZ51" s="72">
        <f t="shared" si="1842"/>
        <v>0.90400000000000003</v>
      </c>
      <c r="EA51" s="72">
        <f t="shared" si="1843"/>
        <v>0.90600000000000003</v>
      </c>
      <c r="EB51" s="72">
        <f t="shared" si="1844"/>
        <v>0.90800000000000003</v>
      </c>
      <c r="EC51" s="72">
        <f t="shared" si="1845"/>
        <v>0.91</v>
      </c>
      <c r="ED51" s="72">
        <f t="shared" si="1846"/>
        <v>0.91200000000000003</v>
      </c>
      <c r="EE51" s="72">
        <f t="shared" si="1847"/>
        <v>0.91400000000000003</v>
      </c>
      <c r="EF51" s="72">
        <f t="shared" si="1848"/>
        <v>0.91600000000000004</v>
      </c>
      <c r="EG51" s="72">
        <f t="shared" si="1849"/>
        <v>0.91800000000000004</v>
      </c>
      <c r="EH51" s="72">
        <f t="shared" si="1850"/>
        <v>0.92</v>
      </c>
      <c r="EI51" s="72">
        <f t="shared" si="1851"/>
        <v>0.92</v>
      </c>
      <c r="EJ51" s="72">
        <f t="shared" si="1852"/>
        <v>0.92</v>
      </c>
      <c r="EK51" s="72">
        <f t="shared" si="1853"/>
        <v>0.92</v>
      </c>
    </row>
    <row r="52" spans="1:141" x14ac:dyDescent="0.25">
      <c r="A52" t="str">
        <f t="shared" si="20"/>
        <v>RuralTBN</v>
      </c>
      <c r="B52" t="str">
        <f t="shared" si="1807"/>
        <v>Rural</v>
      </c>
      <c r="C52" t="str">
        <f>IFERROR(VLOOKUP(D52,'For model'!$B$4:$C$16,2,FALSE),C51)</f>
        <v>TBN</v>
      </c>
      <c r="D52" t="s">
        <v>518</v>
      </c>
      <c r="E52" s="72">
        <v>0.02</v>
      </c>
      <c r="F52" s="72">
        <v>0.03</v>
      </c>
      <c r="G52" s="72">
        <v>0.03</v>
      </c>
      <c r="H52" s="72">
        <v>0.05</v>
      </c>
      <c r="I52" s="72">
        <v>0.05</v>
      </c>
      <c r="K52" s="72">
        <f t="shared" si="1856"/>
        <v>0.02</v>
      </c>
      <c r="L52" s="72">
        <f t="shared" ref="L52:O52" si="1923">($P52-$K52)/($P$4-$K$4)+K52</f>
        <v>2.1999999999999999E-2</v>
      </c>
      <c r="M52" s="72">
        <f t="shared" si="1923"/>
        <v>2.3999999999999997E-2</v>
      </c>
      <c r="N52" s="72">
        <f t="shared" si="1923"/>
        <v>2.5999999999999995E-2</v>
      </c>
      <c r="O52" s="72">
        <f t="shared" si="1923"/>
        <v>2.7999999999999994E-2</v>
      </c>
      <c r="P52" s="72">
        <f t="shared" si="1858"/>
        <v>0.03</v>
      </c>
      <c r="Q52" s="72">
        <f t="shared" ref="Q52:T52" si="1924">($U52-$P52)/($U$4-$P$4)+P52</f>
        <v>0.03</v>
      </c>
      <c r="R52" s="72">
        <f t="shared" si="1924"/>
        <v>0.03</v>
      </c>
      <c r="S52" s="72">
        <f t="shared" si="1924"/>
        <v>0.03</v>
      </c>
      <c r="T52" s="72">
        <f t="shared" si="1924"/>
        <v>0.03</v>
      </c>
      <c r="U52" s="72">
        <f t="shared" si="1860"/>
        <v>0.03</v>
      </c>
      <c r="V52" s="72">
        <f t="shared" si="1861"/>
        <v>3.2000000000000001E-2</v>
      </c>
      <c r="W52" s="72">
        <f t="shared" si="1862"/>
        <v>3.4000000000000002E-2</v>
      </c>
      <c r="X52" s="72">
        <f t="shared" si="1863"/>
        <v>3.6000000000000004E-2</v>
      </c>
      <c r="Y52" s="72">
        <f t="shared" si="1864"/>
        <v>3.8000000000000006E-2</v>
      </c>
      <c r="Z52" s="72">
        <f t="shared" si="1865"/>
        <v>4.0000000000000008E-2</v>
      </c>
      <c r="AA52" s="72">
        <f t="shared" si="1866"/>
        <v>4.200000000000001E-2</v>
      </c>
      <c r="AB52" s="72">
        <f t="shared" si="1867"/>
        <v>4.4000000000000011E-2</v>
      </c>
      <c r="AC52" s="72">
        <f t="shared" si="1868"/>
        <v>4.6000000000000013E-2</v>
      </c>
      <c r="AD52" s="72">
        <f t="shared" si="1869"/>
        <v>4.8000000000000015E-2</v>
      </c>
      <c r="AE52" s="72">
        <f t="shared" si="1870"/>
        <v>0.05</v>
      </c>
      <c r="AF52" s="72">
        <f>(AH52-AE52)/(AH$4-AE$4)+AE52</f>
        <v>0.05</v>
      </c>
      <c r="AG52" s="72">
        <f t="shared" si="1871"/>
        <v>0.05</v>
      </c>
      <c r="AH52" s="72">
        <f>I52</f>
        <v>0.05</v>
      </c>
      <c r="AJ52" s="116">
        <f>1-((1-AL52)*K52+(1-AL51)*K51+(1-AL50)*K50)*(1-AK50)</f>
        <v>0.21967000000000014</v>
      </c>
      <c r="AK52" s="72">
        <f>AK51</f>
        <v>0.05</v>
      </c>
      <c r="AL52" s="111">
        <f>AL42</f>
        <v>0.25</v>
      </c>
      <c r="AM52" s="72">
        <v>0.2</v>
      </c>
      <c r="AN52" s="72">
        <v>0.2</v>
      </c>
      <c r="AO52" s="72">
        <f>AN52</f>
        <v>0.2</v>
      </c>
      <c r="AP52" s="118" t="str">
        <f>AQ52&amp;" "&amp;AR52&amp;" "&amp;AS52&amp;" "&amp;AT52&amp;" "&amp;AU52&amp;" "&amp;AV52&amp;" "&amp;AW52&amp;" "&amp;AX52&amp;" "&amp;AY52&amp;" "&amp;AZ52&amp;" "&amp;BA52&amp;" "&amp;BB52&amp;" "&amp;BC52&amp;" "&amp;BD52&amp;" "&amp;BE52&amp;" "&amp;BF52&amp;" "&amp;BG52&amp;" "&amp;BH52&amp;" "&amp;BI52&amp;" "&amp;BJ52&amp;" "&amp;BK52&amp;" "&amp;BL52&amp;" "&amp;BM52&amp;" "&amp;BN52&amp;" "</f>
        <v xml:space="preserve">0.25 0.245 0.24 0.235 0.23 0.225 0.22 0.215 0.21 0.205 0.2 0.2 0.2 0.2 0.2 0.2 0.2 0.2 0.2 0.2 0.2 0.2 0.2 0.2 </v>
      </c>
      <c r="AQ52" s="72">
        <f t="shared" si="1872"/>
        <v>0.25</v>
      </c>
      <c r="AR52" s="72">
        <f t="shared" si="1873"/>
        <v>0.245</v>
      </c>
      <c r="AS52" s="72">
        <f t="shared" si="1874"/>
        <v>0.24</v>
      </c>
      <c r="AT52" s="72">
        <f t="shared" si="1875"/>
        <v>0.23499999999999999</v>
      </c>
      <c r="AU52" s="72">
        <f t="shared" si="1876"/>
        <v>0.22999999999999998</v>
      </c>
      <c r="AV52" s="72">
        <f t="shared" si="1877"/>
        <v>0.22499999999999998</v>
      </c>
      <c r="AW52" s="72">
        <f t="shared" si="1878"/>
        <v>0.21999999999999997</v>
      </c>
      <c r="AX52" s="72">
        <f t="shared" si="1879"/>
        <v>0.21499999999999997</v>
      </c>
      <c r="AY52" s="72">
        <f t="shared" si="1880"/>
        <v>0.20999999999999996</v>
      </c>
      <c r="AZ52" s="72">
        <f t="shared" si="1881"/>
        <v>0.20499999999999996</v>
      </c>
      <c r="BA52" s="72">
        <f t="shared" si="1882"/>
        <v>0.2</v>
      </c>
      <c r="BB52" s="72">
        <f t="shared" si="1883"/>
        <v>0.2</v>
      </c>
      <c r="BC52" s="72">
        <f t="shared" si="1884"/>
        <v>0.2</v>
      </c>
      <c r="BD52" s="72">
        <f t="shared" si="1885"/>
        <v>0.2</v>
      </c>
      <c r="BE52" s="72">
        <f t="shared" si="1886"/>
        <v>0.2</v>
      </c>
      <c r="BF52" s="72">
        <f t="shared" si="1887"/>
        <v>0.2</v>
      </c>
      <c r="BG52" s="72">
        <f t="shared" si="1888"/>
        <v>0.2</v>
      </c>
      <c r="BH52" s="72">
        <f t="shared" si="1889"/>
        <v>0.2</v>
      </c>
      <c r="BI52" s="72">
        <f t="shared" si="1890"/>
        <v>0.2</v>
      </c>
      <c r="BJ52" s="72">
        <f t="shared" si="1891"/>
        <v>0.2</v>
      </c>
      <c r="BK52" s="72">
        <f t="shared" si="1892"/>
        <v>0.2</v>
      </c>
      <c r="BL52" s="72">
        <f>(BN52-BK52)/(BN$4-BK$4)+BK52</f>
        <v>0.2</v>
      </c>
      <c r="BM52" s="72">
        <f t="shared" si="1893"/>
        <v>0.2</v>
      </c>
      <c r="BN52" s="72">
        <f>AO52</f>
        <v>0.2</v>
      </c>
      <c r="BP52" s="84">
        <f ca="1">K52/(K51+K52)*(K53-BP50)</f>
        <v>41.660000000000004</v>
      </c>
      <c r="BQ52" s="84">
        <f t="shared" ref="BQ52" ca="1" si="1925">L52/(L51+L52)*(L53-BQ50)</f>
        <v>52.425999999999995</v>
      </c>
      <c r="BR52" s="84">
        <f t="shared" ref="BR52" ca="1" si="1926">M52/(M51+M52)*(M53-BR50)</f>
        <v>66.311999999999983</v>
      </c>
      <c r="BS52" s="84">
        <f t="shared" ref="BS52" ca="1" si="1927">N52/(N51+N52)*(N53-BS50)</f>
        <v>78.103999999999985</v>
      </c>
      <c r="BT52" s="84">
        <f t="shared" ref="BT52" ca="1" si="1928">O52/(O51+O52)*(O53-BT50)</f>
        <v>91.503999999999991</v>
      </c>
      <c r="BU52" s="84">
        <f t="shared" ref="BU52" ca="1" si="1929">P52/(P51+P52)*(P53-BU50)</f>
        <v>106.41</v>
      </c>
      <c r="BV52" s="84">
        <f t="shared" ref="BV52" ca="1" si="1930">Q52/(Q51+Q52)*(Q53-BV50)</f>
        <v>115.22999999999999</v>
      </c>
      <c r="BW52" s="84">
        <f t="shared" ref="BW52" ca="1" si="1931">R52/(R51+R52)*(R53-BW50)</f>
        <v>124.53</v>
      </c>
      <c r="BX52" s="84">
        <f t="shared" ref="BX52" ca="1" si="1932">S52/(S51+S52)*(S53-BX50)</f>
        <v>134.34000000000003</v>
      </c>
      <c r="BY52" s="84">
        <f t="shared" ref="BY52" ca="1" si="1933">T52/(T51+T52)*(T53-BY50)</f>
        <v>144.66</v>
      </c>
      <c r="BZ52" s="84">
        <f t="shared" ref="BZ52" ca="1" si="1934">U52/(U51+U52)*(U53-BZ50)</f>
        <v>155.55000000000001</v>
      </c>
      <c r="CA52" s="84">
        <f t="shared" ref="CA52" ca="1" si="1935">V52/(V51+V52)*(V53-CA50)</f>
        <v>178.14400000000001</v>
      </c>
      <c r="CB52" s="84">
        <f t="shared" ref="CB52" ca="1" si="1936">W52/(W51+W52)*(W53-CB50)</f>
        <v>203.01400000000004</v>
      </c>
      <c r="CC52" s="84">
        <f t="shared" ref="CC52" ca="1" si="1937">X52/(X51+X52)*(X53-CC50)</f>
        <v>230.22000000000003</v>
      </c>
      <c r="CD52" s="84">
        <f t="shared" ref="CD52" ca="1" si="1938">Y52/(Y51+Y52)*(Y53-CD50)</f>
        <v>259.99600000000004</v>
      </c>
      <c r="CE52" s="84">
        <f t="shared" ref="CE52" ca="1" si="1939">Z52/(Z51+Z52)*(Z53-CE50)</f>
        <v>292.56000000000006</v>
      </c>
      <c r="CF52" s="84">
        <f t="shared" ref="CF52" ca="1" si="1940">AA52/(AA51+AA52)*(AA53-CF50)</f>
        <v>327.95790907448941</v>
      </c>
      <c r="CG52" s="84">
        <f t="shared" ref="CG52" ca="1" si="1941">AB52/(AB51+AB52)*(AB53-CG50)</f>
        <v>366.39112279205199</v>
      </c>
      <c r="CH52" s="84">
        <f t="shared" ref="CH52" ca="1" si="1942">AC52/(AC51+AC52)*(AC53-CH50)</f>
        <v>408.02105693745369</v>
      </c>
      <c r="CI52" s="84">
        <f t="shared" ref="CI52" ca="1" si="1943">AD52/(AD51+AD52)*(AD53-CI50)</f>
        <v>453.00911028247896</v>
      </c>
      <c r="CJ52" s="84">
        <f t="shared" ref="CJ52" ca="1" si="1944">AE52/(AE51+AE52)*(AE53-CJ50)</f>
        <v>495.87169714555176</v>
      </c>
      <c r="CK52" s="84">
        <f t="shared" ref="CK52" ca="1" si="1945">AF52/(AF51+AF52)*(AF53-CK50)</f>
        <v>527.00919528749216</v>
      </c>
      <c r="CL52" s="84">
        <f t="shared" ref="CL52" ca="1" si="1946">AG52/(AG51+AG52)*(AG53-CL50)</f>
        <v>911.71277807322679</v>
      </c>
      <c r="CM52" s="84">
        <f t="shared" ref="CM52" ca="1" si="1947">AH52/(AH51+AH52)*(AH53-CM50)</f>
        <v>1676.2807687691343</v>
      </c>
      <c r="CN52" s="118" t="str">
        <f t="shared" ca="1" si="1810"/>
        <v xml:space="preserve">3.4 4.3 5.5 6.5 7.6 8.9 9.7 10.6 11.5 12.5 13.5 15.5 17.6 20 22.6 25.4 28.5 31.8 35.4 39.3 43 45.7 79.1 145.4 </v>
      </c>
      <c r="CO52" s="117">
        <f t="shared" ca="1" si="1917"/>
        <v>3.4</v>
      </c>
      <c r="CP52" s="117">
        <f t="shared" ca="1" si="1811"/>
        <v>4.3</v>
      </c>
      <c r="CQ52" s="117">
        <f t="shared" ca="1" si="1812"/>
        <v>5.5</v>
      </c>
      <c r="CR52" s="117">
        <f t="shared" ca="1" si="1813"/>
        <v>6.5</v>
      </c>
      <c r="CS52" s="117">
        <f t="shared" ca="1" si="1814"/>
        <v>7.6</v>
      </c>
      <c r="CT52" s="117">
        <f t="shared" ca="1" si="1815"/>
        <v>8.9</v>
      </c>
      <c r="CU52" s="117">
        <f t="shared" ca="1" si="1816"/>
        <v>9.6999999999999993</v>
      </c>
      <c r="CV52" s="117">
        <f t="shared" ca="1" si="1817"/>
        <v>10.6</v>
      </c>
      <c r="CW52" s="117">
        <f t="shared" ca="1" si="1818"/>
        <v>11.5</v>
      </c>
      <c r="CX52" s="117">
        <f t="shared" ca="1" si="1819"/>
        <v>12.5</v>
      </c>
      <c r="CY52" s="117">
        <f t="shared" ca="1" si="1820"/>
        <v>13.5</v>
      </c>
      <c r="CZ52" s="117">
        <f t="shared" ca="1" si="1821"/>
        <v>15.5</v>
      </c>
      <c r="DA52" s="117">
        <f t="shared" ca="1" si="1822"/>
        <v>17.600000000000001</v>
      </c>
      <c r="DB52" s="117">
        <f t="shared" ca="1" si="1823"/>
        <v>20</v>
      </c>
      <c r="DC52" s="117">
        <f t="shared" ca="1" si="1824"/>
        <v>22.6</v>
      </c>
      <c r="DD52" s="117">
        <f t="shared" ca="1" si="1825"/>
        <v>25.4</v>
      </c>
      <c r="DE52" s="117">
        <f t="shared" ca="1" si="1918"/>
        <v>28.5</v>
      </c>
      <c r="DF52" s="117">
        <f t="shared" ca="1" si="1826"/>
        <v>31.8</v>
      </c>
      <c r="DG52" s="117">
        <f t="shared" ca="1" si="1827"/>
        <v>35.4</v>
      </c>
      <c r="DH52" s="117">
        <f t="shared" ca="1" si="1919"/>
        <v>39.299999999999997</v>
      </c>
      <c r="DI52" s="117">
        <f t="shared" ca="1" si="1828"/>
        <v>43</v>
      </c>
      <c r="DJ52" s="117">
        <f t="shared" ca="1" si="1920"/>
        <v>45.7</v>
      </c>
      <c r="DK52" s="117">
        <f t="shared" ca="1" si="1921"/>
        <v>79.099999999999994</v>
      </c>
      <c r="DL52" s="117">
        <f t="shared" ca="1" si="1829"/>
        <v>145.4</v>
      </c>
      <c r="DM52" s="118" t="str">
        <f t="shared" si="1830"/>
        <v xml:space="preserve">0.75 0.755 0.76 0.765 0.77 0.775 0.78 0.785 0.79 0.795 0.8 0.8 0.8 0.8 0.8 0.8 0.8 0.8 0.8 0.8 0.8 0.8 0.8 0.8 </v>
      </c>
      <c r="DN52" s="72">
        <f t="shared" si="1922"/>
        <v>0.75</v>
      </c>
      <c r="DO52" s="72">
        <f t="shared" si="1831"/>
        <v>0.755</v>
      </c>
      <c r="DP52" s="72">
        <f t="shared" si="1832"/>
        <v>0.76</v>
      </c>
      <c r="DQ52" s="72">
        <f t="shared" si="1833"/>
        <v>0.76500000000000001</v>
      </c>
      <c r="DR52" s="72">
        <f t="shared" si="1834"/>
        <v>0.77</v>
      </c>
      <c r="DS52" s="72">
        <f t="shared" si="1835"/>
        <v>0.77500000000000002</v>
      </c>
      <c r="DT52" s="72">
        <f t="shared" si="1836"/>
        <v>0.78</v>
      </c>
      <c r="DU52" s="72">
        <f t="shared" si="1837"/>
        <v>0.78500000000000003</v>
      </c>
      <c r="DV52" s="72">
        <f t="shared" si="1838"/>
        <v>0.79</v>
      </c>
      <c r="DW52" s="72">
        <f t="shared" si="1839"/>
        <v>0.79500000000000004</v>
      </c>
      <c r="DX52" s="72">
        <f t="shared" si="1840"/>
        <v>0.8</v>
      </c>
      <c r="DY52" s="72">
        <f t="shared" si="1841"/>
        <v>0.8</v>
      </c>
      <c r="DZ52" s="72">
        <f t="shared" si="1842"/>
        <v>0.8</v>
      </c>
      <c r="EA52" s="72">
        <f t="shared" si="1843"/>
        <v>0.8</v>
      </c>
      <c r="EB52" s="72">
        <f t="shared" si="1844"/>
        <v>0.8</v>
      </c>
      <c r="EC52" s="72">
        <f t="shared" si="1845"/>
        <v>0.8</v>
      </c>
      <c r="ED52" s="72">
        <f t="shared" si="1846"/>
        <v>0.8</v>
      </c>
      <c r="EE52" s="72">
        <f t="shared" si="1847"/>
        <v>0.8</v>
      </c>
      <c r="EF52" s="72">
        <f t="shared" si="1848"/>
        <v>0.8</v>
      </c>
      <c r="EG52" s="72">
        <f t="shared" si="1849"/>
        <v>0.8</v>
      </c>
      <c r="EH52" s="72">
        <f t="shared" si="1850"/>
        <v>0.8</v>
      </c>
      <c r="EI52" s="72">
        <f t="shared" si="1851"/>
        <v>0.8</v>
      </c>
      <c r="EJ52" s="72">
        <f t="shared" si="1852"/>
        <v>0.8</v>
      </c>
      <c r="EK52" s="72">
        <f t="shared" si="1853"/>
        <v>0.8</v>
      </c>
    </row>
    <row r="53" spans="1:141" x14ac:dyDescent="0.25">
      <c r="A53" t="str">
        <f t="shared" si="20"/>
        <v>TBN</v>
      </c>
      <c r="C53" t="str">
        <f>IFERROR(VLOOKUP(D53,'For model'!$B$4:$C$16,2,FALSE),C52)</f>
        <v>TBN</v>
      </c>
      <c r="D53" t="s">
        <v>537</v>
      </c>
      <c r="K53" s="84">
        <f ca="1">OFFSET(SourceData!$BS$4,MATCH(K49,SourceData!$BS$5:$BS$28,0),MATCH($C53,SourceData!$BT$3:$CF$3,0))</f>
        <v>2083</v>
      </c>
      <c r="L53" s="84">
        <f ca="1">OFFSET(SourceData!$BS$4,MATCH(L49,SourceData!$BS$5:$BS$28,0),MATCH($C53,SourceData!$BT$3:$CF$3,0))</f>
        <v>2383</v>
      </c>
      <c r="M53" s="84">
        <f ca="1">OFFSET(SourceData!$BS$4,MATCH(M49,SourceData!$BS$5:$BS$28,0),MATCH($C53,SourceData!$BT$3:$CF$3,0))</f>
        <v>2763</v>
      </c>
      <c r="N53" s="84">
        <f ca="1">OFFSET(SourceData!$BS$4,MATCH(N49,SourceData!$BS$5:$BS$28,0),MATCH($C53,SourceData!$BT$3:$CF$3,0))</f>
        <v>3004</v>
      </c>
      <c r="O53" s="84">
        <f ca="1">OFFSET(SourceData!$BS$4,MATCH(O49,SourceData!$BS$5:$BS$28,0),MATCH($C53,SourceData!$BT$3:$CF$3,0))</f>
        <v>3268</v>
      </c>
      <c r="P53" s="84">
        <f ca="1">OFFSET(SourceData!$BS$4,MATCH(P49,SourceData!$BS$5:$BS$28,0),MATCH($C53,SourceData!$BT$3:$CF$3,0))</f>
        <v>3547</v>
      </c>
      <c r="Q53" s="84">
        <f ca="1">OFFSET(SourceData!$BS$4,MATCH(Q49,SourceData!$BS$5:$BS$28,0),MATCH($C53,SourceData!$BT$3:$CF$3,0))</f>
        <v>3841</v>
      </c>
      <c r="R53" s="84">
        <f ca="1">OFFSET(SourceData!$BS$4,MATCH(R49,SourceData!$BS$5:$BS$28,0),MATCH($C53,SourceData!$BT$3:$CF$3,0))</f>
        <v>4151</v>
      </c>
      <c r="S53" s="84">
        <f ca="1">OFFSET(SourceData!$BS$4,MATCH(S49,SourceData!$BS$5:$BS$28,0),MATCH($C53,SourceData!$BT$3:$CF$3,0))</f>
        <v>4478</v>
      </c>
      <c r="T53" s="84">
        <f ca="1">OFFSET(SourceData!$BS$4,MATCH(T49,SourceData!$BS$5:$BS$28,0),MATCH($C53,SourceData!$BT$3:$CF$3,0))</f>
        <v>4822</v>
      </c>
      <c r="U53" s="84">
        <f ca="1">OFFSET(SourceData!$BS$4,MATCH(U49,SourceData!$BS$5:$BS$28,0),MATCH($C53,SourceData!$BT$3:$CF$3,0))</f>
        <v>5185</v>
      </c>
      <c r="V53" s="84">
        <f ca="1">OFFSET(SourceData!$BS$4,MATCH(V49,SourceData!$BS$5:$BS$28,0),MATCH($C53,SourceData!$BT$3:$CF$3,0))</f>
        <v>5567</v>
      </c>
      <c r="W53" s="84">
        <f ca="1">OFFSET(SourceData!$BS$4,MATCH(W49,SourceData!$BS$5:$BS$28,0),MATCH($C53,SourceData!$BT$3:$CF$3,0))</f>
        <v>5971</v>
      </c>
      <c r="X53" s="84">
        <f ca="1">OFFSET(SourceData!$BS$4,MATCH(X49,SourceData!$BS$5:$BS$28,0),MATCH($C53,SourceData!$BT$3:$CF$3,0))</f>
        <v>6395</v>
      </c>
      <c r="Y53" s="84">
        <f ca="1">OFFSET(SourceData!$BS$4,MATCH(Y49,SourceData!$BS$5:$BS$28,0),MATCH($C53,SourceData!$BT$3:$CF$3,0))</f>
        <v>6842</v>
      </c>
      <c r="Z53" s="84">
        <f ca="1">OFFSET(SourceData!$BS$4,MATCH(Z49,SourceData!$BS$5:$BS$28,0),MATCH($C53,SourceData!$BT$3:$CF$3,0))</f>
        <v>7314</v>
      </c>
      <c r="AA53" s="84">
        <f ca="1">OFFSET(SourceData!$BS$4,MATCH(AA49,SourceData!$BS$5:$BS$28,0),MATCH($C53,SourceData!$BT$3:$CF$3,0))</f>
        <v>7808.5216446306986</v>
      </c>
      <c r="AB53" s="84">
        <f ca="1">OFFSET(SourceData!$BS$4,MATCH(AB49,SourceData!$BS$5:$BS$28,0),MATCH($C53,SourceData!$BT$3:$CF$3,0))</f>
        <v>8327.0709725466331</v>
      </c>
      <c r="AC53" s="84">
        <f ca="1">OFFSET(SourceData!$BS$4,MATCH(AC49,SourceData!$BS$5:$BS$28,0),MATCH($C53,SourceData!$BT$3:$CF$3,0))</f>
        <v>8870.0229769011639</v>
      </c>
      <c r="AD53" s="84">
        <f ca="1">OFFSET(SourceData!$BS$4,MATCH(AD49,SourceData!$BS$5:$BS$28,0),MATCH($C53,SourceData!$BT$3:$CF$3,0))</f>
        <v>9437.6897975516404</v>
      </c>
      <c r="AE53" s="84">
        <f ca="1">OFFSET(SourceData!$BS$4,MATCH(AE49,SourceData!$BS$5:$BS$28,0),MATCH($C53,SourceData!$BT$3:$CF$3,0))</f>
        <v>9917.433942911035</v>
      </c>
      <c r="AF53" s="84">
        <f ca="1">OFFSET(SourceData!$BS$4,MATCH(AF49,SourceData!$BS$5:$BS$28,0),MATCH($C53,SourceData!$BT$3:$CF$3,0))</f>
        <v>10540.183905749842</v>
      </c>
      <c r="AG53" s="84">
        <f ca="1">OFFSET(SourceData!$BS$4,MATCH(AG49,SourceData!$BS$5:$BS$28,0),MATCH($C53,SourceData!$BT$3:$CF$3,0))</f>
        <v>18234.255561464535</v>
      </c>
      <c r="AH53" s="84">
        <f ca="1">OFFSET(SourceData!$BS$4,MATCH(AH49,SourceData!$BS$5:$BS$28,0),MATCH($C53,SourceData!$BT$3:$CF$3,0))</f>
        <v>33525.615375382687</v>
      </c>
      <c r="BP53" s="84">
        <f ca="1">SUM(BP50:BP52)</f>
        <v>2083</v>
      </c>
      <c r="BQ53" s="84">
        <f t="shared" ref="BQ53" ca="1" si="1948">SUM(BQ50:BQ52)</f>
        <v>2382.9999999999995</v>
      </c>
      <c r="BR53" s="84">
        <f t="shared" ref="BR53" ca="1" si="1949">SUM(BR50:BR52)</f>
        <v>2763</v>
      </c>
      <c r="BS53" s="84">
        <f t="shared" ref="BS53" ca="1" si="1950">SUM(BS50:BS52)</f>
        <v>3004</v>
      </c>
      <c r="BT53" s="84">
        <f t="shared" ref="BT53" ca="1" si="1951">SUM(BT50:BT52)</f>
        <v>3268</v>
      </c>
      <c r="BU53" s="84">
        <f t="shared" ref="BU53" ca="1" si="1952">SUM(BU50:BU52)</f>
        <v>3547</v>
      </c>
      <c r="BV53" s="84">
        <f t="shared" ref="BV53" ca="1" si="1953">SUM(BV50:BV52)</f>
        <v>3840.9999999999995</v>
      </c>
      <c r="BW53" s="84">
        <f t="shared" ref="BW53" ca="1" si="1954">SUM(BW50:BW52)</f>
        <v>4151</v>
      </c>
      <c r="BX53" s="84">
        <f t="shared" ref="BX53" ca="1" si="1955">SUM(BX50:BX52)</f>
        <v>4478</v>
      </c>
      <c r="BY53" s="84">
        <f t="shared" ref="BY53" ca="1" si="1956">SUM(BY50:BY52)</f>
        <v>4822</v>
      </c>
      <c r="BZ53" s="84">
        <f t="shared" ref="BZ53" ca="1" si="1957">SUM(BZ50:BZ52)</f>
        <v>5185</v>
      </c>
      <c r="CA53" s="84">
        <f t="shared" ref="CA53" ca="1" si="1958">SUM(CA50:CA52)</f>
        <v>5567</v>
      </c>
      <c r="CB53" s="84">
        <f t="shared" ref="CB53" ca="1" si="1959">SUM(CB50:CB52)</f>
        <v>5971</v>
      </c>
      <c r="CC53" s="84">
        <f t="shared" ref="CC53" ca="1" si="1960">SUM(CC50:CC52)</f>
        <v>6395</v>
      </c>
      <c r="CD53" s="84">
        <f t="shared" ref="CD53" ca="1" si="1961">SUM(CD50:CD52)</f>
        <v>6841.9999999999991</v>
      </c>
      <c r="CE53" s="84">
        <f t="shared" ref="CE53" ca="1" si="1962">SUM(CE50:CE52)</f>
        <v>7314</v>
      </c>
      <c r="CF53" s="84">
        <f t="shared" ref="CF53" ca="1" si="1963">SUM(CF50:CF52)</f>
        <v>7808.5216446306977</v>
      </c>
      <c r="CG53" s="84">
        <f t="shared" ref="CG53" ca="1" si="1964">SUM(CG50:CG52)</f>
        <v>8327.0709725466331</v>
      </c>
      <c r="CH53" s="84">
        <f t="shared" ref="CH53" ca="1" si="1965">SUM(CH50:CH52)</f>
        <v>8870.0229769011639</v>
      </c>
      <c r="CI53" s="84">
        <f t="shared" ref="CI53" ca="1" si="1966">SUM(CI50:CI52)</f>
        <v>9437.6897975516404</v>
      </c>
      <c r="CJ53" s="84">
        <f t="shared" ref="CJ53" ca="1" si="1967">SUM(CJ50:CJ52)</f>
        <v>9917.433942911035</v>
      </c>
      <c r="CK53" s="84">
        <f t="shared" ref="CK53" ca="1" si="1968">SUM(CK50:CK52)</f>
        <v>10540.18390574984</v>
      </c>
      <c r="CL53" s="84">
        <f t="shared" ref="CL53" ca="1" si="1969">SUM(CL50:CL52)</f>
        <v>18234.255561464532</v>
      </c>
      <c r="CM53" s="84">
        <f t="shared" ref="CM53" ca="1" si="1970">SUM(CM50:CM52)</f>
        <v>33525.61537538268</v>
      </c>
    </row>
    <row r="54" spans="1:141" x14ac:dyDescent="0.25">
      <c r="A54" t="str">
        <f t="shared" si="20"/>
        <v>BUR</v>
      </c>
      <c r="C54" t="str">
        <f>IFERROR(VLOOKUP(D54,'For model'!$B$4:$C$16,2,FALSE),C53)</f>
        <v>BUR</v>
      </c>
      <c r="D54" s="92" t="s">
        <v>63</v>
      </c>
      <c r="E54">
        <v>2010</v>
      </c>
      <c r="F54">
        <v>2015</v>
      </c>
      <c r="G54">
        <v>2020</v>
      </c>
      <c r="H54">
        <v>2030</v>
      </c>
      <c r="I54">
        <f>I49</f>
        <v>2050</v>
      </c>
      <c r="K54">
        <v>2010</v>
      </c>
      <c r="L54">
        <f>K54+1</f>
        <v>2011</v>
      </c>
      <c r="M54">
        <f t="shared" ref="M54:U54" si="1971">L54+1</f>
        <v>2012</v>
      </c>
      <c r="N54">
        <f t="shared" si="1971"/>
        <v>2013</v>
      </c>
      <c r="O54">
        <f t="shared" si="1971"/>
        <v>2014</v>
      </c>
      <c r="P54">
        <f t="shared" si="1971"/>
        <v>2015</v>
      </c>
      <c r="Q54">
        <f t="shared" si="1971"/>
        <v>2016</v>
      </c>
      <c r="R54">
        <f t="shared" si="1971"/>
        <v>2017</v>
      </c>
      <c r="S54">
        <f t="shared" si="1971"/>
        <v>2018</v>
      </c>
      <c r="T54">
        <f t="shared" si="1971"/>
        <v>2019</v>
      </c>
      <c r="U54">
        <f t="shared" si="1971"/>
        <v>2020</v>
      </c>
      <c r="V54">
        <f t="shared" ref="V54:AF54" si="1972">U54+1</f>
        <v>2021</v>
      </c>
      <c r="W54">
        <f t="shared" si="1972"/>
        <v>2022</v>
      </c>
      <c r="X54">
        <f t="shared" si="1972"/>
        <v>2023</v>
      </c>
      <c r="Y54">
        <f t="shared" si="1972"/>
        <v>2024</v>
      </c>
      <c r="Z54">
        <f t="shared" si="1972"/>
        <v>2025</v>
      </c>
      <c r="AA54">
        <f t="shared" si="1972"/>
        <v>2026</v>
      </c>
      <c r="AB54">
        <f t="shared" si="1972"/>
        <v>2027</v>
      </c>
      <c r="AC54">
        <f t="shared" si="1972"/>
        <v>2028</v>
      </c>
      <c r="AD54">
        <f t="shared" si="1972"/>
        <v>2029</v>
      </c>
      <c r="AE54">
        <f t="shared" si="1972"/>
        <v>2030</v>
      </c>
      <c r="AF54">
        <f t="shared" si="1972"/>
        <v>2031</v>
      </c>
      <c r="AG54">
        <v>2040</v>
      </c>
      <c r="AH54">
        <v>2050</v>
      </c>
      <c r="AL54">
        <f>E54</f>
        <v>2010</v>
      </c>
      <c r="AM54">
        <f>G54</f>
        <v>2020</v>
      </c>
      <c r="AN54">
        <f>H54</f>
        <v>2030</v>
      </c>
      <c r="AO54">
        <f>I54</f>
        <v>2050</v>
      </c>
      <c r="AQ54">
        <v>2010</v>
      </c>
      <c r="AR54">
        <f>AQ54+1</f>
        <v>2011</v>
      </c>
      <c r="AS54">
        <f t="shared" ref="AS54:BL54" si="1973">AR54+1</f>
        <v>2012</v>
      </c>
      <c r="AT54">
        <f t="shared" si="1973"/>
        <v>2013</v>
      </c>
      <c r="AU54">
        <f t="shared" si="1973"/>
        <v>2014</v>
      </c>
      <c r="AV54">
        <f t="shared" si="1973"/>
        <v>2015</v>
      </c>
      <c r="AW54">
        <f t="shared" si="1973"/>
        <v>2016</v>
      </c>
      <c r="AX54">
        <f t="shared" si="1973"/>
        <v>2017</v>
      </c>
      <c r="AY54">
        <f t="shared" si="1973"/>
        <v>2018</v>
      </c>
      <c r="AZ54">
        <f t="shared" si="1973"/>
        <v>2019</v>
      </c>
      <c r="BA54">
        <f t="shared" si="1973"/>
        <v>2020</v>
      </c>
      <c r="BB54">
        <f t="shared" si="1973"/>
        <v>2021</v>
      </c>
      <c r="BC54">
        <f t="shared" si="1973"/>
        <v>2022</v>
      </c>
      <c r="BD54">
        <f t="shared" si="1973"/>
        <v>2023</v>
      </c>
      <c r="BE54">
        <f t="shared" si="1973"/>
        <v>2024</v>
      </c>
      <c r="BF54">
        <f t="shared" si="1973"/>
        <v>2025</v>
      </c>
      <c r="BG54">
        <f t="shared" si="1973"/>
        <v>2026</v>
      </c>
      <c r="BH54">
        <f t="shared" si="1973"/>
        <v>2027</v>
      </c>
      <c r="BI54">
        <f t="shared" si="1973"/>
        <v>2028</v>
      </c>
      <c r="BJ54">
        <f t="shared" si="1973"/>
        <v>2029</v>
      </c>
      <c r="BK54">
        <f t="shared" si="1973"/>
        <v>2030</v>
      </c>
      <c r="BL54">
        <f t="shared" si="1973"/>
        <v>2031</v>
      </c>
      <c r="BM54">
        <v>2040</v>
      </c>
      <c r="BN54">
        <v>2050</v>
      </c>
      <c r="BP54">
        <f>AQ54</f>
        <v>2010</v>
      </c>
      <c r="BQ54">
        <f t="shared" ref="BQ54" si="1974">AR54</f>
        <v>2011</v>
      </c>
      <c r="BR54">
        <f t="shared" ref="BR54" si="1975">AS54</f>
        <v>2012</v>
      </c>
      <c r="BS54">
        <f t="shared" ref="BS54" si="1976">AT54</f>
        <v>2013</v>
      </c>
      <c r="BT54">
        <f t="shared" ref="BT54" si="1977">AU54</f>
        <v>2014</v>
      </c>
      <c r="BU54">
        <f t="shared" ref="BU54" si="1978">AV54</f>
        <v>2015</v>
      </c>
      <c r="BV54">
        <f t="shared" ref="BV54" si="1979">AW54</f>
        <v>2016</v>
      </c>
      <c r="BW54">
        <f t="shared" ref="BW54" si="1980">AX54</f>
        <v>2017</v>
      </c>
      <c r="BX54">
        <f t="shared" ref="BX54" si="1981">AY54</f>
        <v>2018</v>
      </c>
      <c r="BY54">
        <f t="shared" ref="BY54" si="1982">AZ54</f>
        <v>2019</v>
      </c>
      <c r="BZ54">
        <f t="shared" ref="BZ54" si="1983">BA54</f>
        <v>2020</v>
      </c>
      <c r="CA54">
        <f t="shared" ref="CA54" si="1984">BB54</f>
        <v>2021</v>
      </c>
      <c r="CB54">
        <f t="shared" ref="CB54" si="1985">BC54</f>
        <v>2022</v>
      </c>
      <c r="CC54">
        <f t="shared" ref="CC54" si="1986">BD54</f>
        <v>2023</v>
      </c>
      <c r="CD54">
        <f t="shared" ref="CD54" si="1987">BE54</f>
        <v>2024</v>
      </c>
      <c r="CE54">
        <f t="shared" ref="CE54" si="1988">BF54</f>
        <v>2025</v>
      </c>
      <c r="CF54">
        <f t="shared" ref="CF54" si="1989">BG54</f>
        <v>2026</v>
      </c>
      <c r="CG54">
        <f t="shared" ref="CG54" si="1990">BH54</f>
        <v>2027</v>
      </c>
      <c r="CH54">
        <f t="shared" ref="CH54" si="1991">BI54</f>
        <v>2028</v>
      </c>
      <c r="CI54">
        <f t="shared" ref="CI54" si="1992">BJ54</f>
        <v>2029</v>
      </c>
      <c r="CJ54">
        <f t="shared" ref="CJ54" si="1993">BK54</f>
        <v>2030</v>
      </c>
      <c r="CK54">
        <f t="shared" ref="CK54" si="1994">BL54</f>
        <v>2031</v>
      </c>
      <c r="CL54">
        <f t="shared" ref="CL54" si="1995">BM54</f>
        <v>2040</v>
      </c>
      <c r="CM54">
        <f t="shared" ref="CM54" si="1996">BN54</f>
        <v>2050</v>
      </c>
      <c r="CO54">
        <f>BP54</f>
        <v>2010</v>
      </c>
      <c r="CP54">
        <f t="shared" ref="CP54" si="1997">BQ54</f>
        <v>2011</v>
      </c>
      <c r="CQ54">
        <f t="shared" ref="CQ54" si="1998">BR54</f>
        <v>2012</v>
      </c>
      <c r="CR54">
        <f t="shared" ref="CR54" si="1999">BS54</f>
        <v>2013</v>
      </c>
      <c r="CS54">
        <f t="shared" ref="CS54" si="2000">BT54</f>
        <v>2014</v>
      </c>
      <c r="CT54">
        <f t="shared" ref="CT54" si="2001">BU54</f>
        <v>2015</v>
      </c>
      <c r="CU54">
        <f t="shared" ref="CU54" si="2002">BV54</f>
        <v>2016</v>
      </c>
      <c r="CV54">
        <f t="shared" ref="CV54" si="2003">BW54</f>
        <v>2017</v>
      </c>
      <c r="CW54">
        <f t="shared" ref="CW54" si="2004">BX54</f>
        <v>2018</v>
      </c>
      <c r="CX54">
        <f t="shared" ref="CX54" si="2005">BY54</f>
        <v>2019</v>
      </c>
      <c r="CY54">
        <f t="shared" ref="CY54" si="2006">BZ54</f>
        <v>2020</v>
      </c>
      <c r="CZ54">
        <f t="shared" ref="CZ54" si="2007">CA54</f>
        <v>2021</v>
      </c>
      <c r="DA54">
        <f t="shared" ref="DA54" si="2008">CB54</f>
        <v>2022</v>
      </c>
      <c r="DB54">
        <f t="shared" ref="DB54" si="2009">CC54</f>
        <v>2023</v>
      </c>
      <c r="DC54">
        <f t="shared" ref="DC54" si="2010">CD54</f>
        <v>2024</v>
      </c>
      <c r="DD54">
        <f t="shared" ref="DD54" si="2011">CE54</f>
        <v>2025</v>
      </c>
      <c r="DE54">
        <f>CF54</f>
        <v>2026</v>
      </c>
      <c r="DF54">
        <f t="shared" ref="DF54" si="2012">CG54</f>
        <v>2027</v>
      </c>
      <c r="DG54">
        <f t="shared" ref="DG54" si="2013">CH54</f>
        <v>2028</v>
      </c>
      <c r="DH54">
        <f>CI54</f>
        <v>2029</v>
      </c>
      <c r="DI54">
        <f t="shared" ref="DI54" si="2014">CJ54</f>
        <v>2030</v>
      </c>
      <c r="DJ54">
        <f>CK54</f>
        <v>2031</v>
      </c>
      <c r="DK54">
        <f>CL54</f>
        <v>2040</v>
      </c>
      <c r="DL54">
        <f t="shared" ref="DL54" si="2015">CM54</f>
        <v>2050</v>
      </c>
    </row>
    <row r="55" spans="1:141" x14ac:dyDescent="0.25">
      <c r="A55" t="str">
        <f t="shared" si="20"/>
        <v>Heavy IndustryBUR</v>
      </c>
      <c r="B55" t="str">
        <f t="shared" ref="B55:B57" si="2016">B50</f>
        <v>Heavy Industry</v>
      </c>
      <c r="C55" t="str">
        <f>IFERROR(VLOOKUP(D55,'For model'!$B$4:$C$16,2,FALSE),C54)</f>
        <v>BUR</v>
      </c>
      <c r="D55" t="s">
        <v>535</v>
      </c>
      <c r="E55" s="72">
        <v>0.1</v>
      </c>
      <c r="F55" s="72">
        <v>0.2</v>
      </c>
      <c r="G55" s="72">
        <v>0.25</v>
      </c>
      <c r="H55" s="72">
        <v>0.3</v>
      </c>
      <c r="I55" s="72">
        <v>0.3</v>
      </c>
      <c r="K55" s="72">
        <f>E55</f>
        <v>0.1</v>
      </c>
      <c r="L55" s="72">
        <f>($P55-$K55)/($P$4-$K$4)+K55</f>
        <v>0.12000000000000001</v>
      </c>
      <c r="M55" s="72">
        <f t="shared" ref="M55:O55" si="2017">($P55-$K55)/($P$4-$K$4)+L55</f>
        <v>0.14000000000000001</v>
      </c>
      <c r="N55" s="72">
        <f t="shared" si="2017"/>
        <v>0.16</v>
      </c>
      <c r="O55" s="72">
        <f t="shared" si="2017"/>
        <v>0.18</v>
      </c>
      <c r="P55" s="72">
        <f>F55</f>
        <v>0.2</v>
      </c>
      <c r="Q55" s="72">
        <f>($U55-$P55)/($U$4-$P$4)+P55</f>
        <v>0.21000000000000002</v>
      </c>
      <c r="R55" s="72">
        <f t="shared" ref="R55:T55" si="2018">($U55-$P55)/($U$4-$P$4)+Q55</f>
        <v>0.22000000000000003</v>
      </c>
      <c r="S55" s="72">
        <f t="shared" si="2018"/>
        <v>0.23000000000000004</v>
      </c>
      <c r="T55" s="72">
        <f t="shared" si="2018"/>
        <v>0.24000000000000005</v>
      </c>
      <c r="U55" s="72">
        <f>G55</f>
        <v>0.25</v>
      </c>
      <c r="V55" s="72">
        <f>(AE55-U55)/(AE$4-U$4)+U55</f>
        <v>0.255</v>
      </c>
      <c r="W55" s="72">
        <f>(AE55-U55)/(AE$4-U$4)+V55</f>
        <v>0.26</v>
      </c>
      <c r="X55" s="72">
        <f>(AE55-U55)/(AE$4-U$4)+W55</f>
        <v>0.26500000000000001</v>
      </c>
      <c r="Y55" s="72">
        <f>(AE55-U55)/(AE$4-U$4)+X55</f>
        <v>0.27</v>
      </c>
      <c r="Z55" s="72">
        <f>(AE55-U55)/(AE$4-U$4)+Y55</f>
        <v>0.27500000000000002</v>
      </c>
      <c r="AA55" s="72">
        <f>(AE55-U55)/(AE$4-U$4)+Z55</f>
        <v>0.28000000000000003</v>
      </c>
      <c r="AB55" s="72">
        <f>(AE55-U55)/(AE$4-U$4)+AA55</f>
        <v>0.28500000000000003</v>
      </c>
      <c r="AC55" s="72">
        <f>(AE55-U55)/(AE$4-U$4)+AB55</f>
        <v>0.29000000000000004</v>
      </c>
      <c r="AD55" s="72">
        <f>(AE55-U55)/(AE$4-U$4)+AC55</f>
        <v>0.29500000000000004</v>
      </c>
      <c r="AE55" s="72">
        <f>H55</f>
        <v>0.3</v>
      </c>
      <c r="AF55" s="72">
        <f>(AH55-AE55)/(AH$4-AE$4)+AE55</f>
        <v>0.3</v>
      </c>
      <c r="AG55" s="72">
        <f>(AE55+AH55)/2</f>
        <v>0.3</v>
      </c>
      <c r="AH55" s="72">
        <f>I55</f>
        <v>0.3</v>
      </c>
      <c r="AJ55" s="115">
        <f ca="1">SUMIF(SourceData!$Y$3:$AK$3,$C54,SourceData!$Y$1:$AK$1)</f>
        <v>0.15402843601895733</v>
      </c>
      <c r="AK55" s="72">
        <v>0.05</v>
      </c>
      <c r="AL55" s="94">
        <v>0.02</v>
      </c>
      <c r="AM55" s="72">
        <f>AL55</f>
        <v>0.02</v>
      </c>
      <c r="AN55" s="72">
        <v>0</v>
      </c>
      <c r="AO55" s="72">
        <v>0</v>
      </c>
      <c r="AP55" s="118" t="str">
        <f>AQ55&amp;" "&amp;AR55&amp;" "&amp;AS55&amp;" "&amp;AT55&amp;" "&amp;AU55&amp;" "&amp;AV55&amp;" "&amp;AW55&amp;" "&amp;AX55&amp;" "&amp;AY55&amp;" "&amp;AZ55&amp;" "&amp;BA55&amp;" "&amp;BB55&amp;" "&amp;BC55&amp;" "&amp;BD55&amp;" "&amp;BE55&amp;" "&amp;BF55&amp;" "&amp;BG55&amp;" "&amp;BH55&amp;" "&amp;BI55&amp;" "&amp;BJ55&amp;" "&amp;BK55&amp;" "&amp;BL55&amp;" "&amp;BM55&amp;" "&amp;BN55&amp;" "</f>
        <v xml:space="preserve">0.02 0.02 0.02 0.02 0.02 0.02 0.02 0.02 0.02 0.02 0.02 0.018 0.016 0.014 0.012 0.01 0.008 0.006 0.004 0.002 0 0 0 0 </v>
      </c>
      <c r="AQ55" s="72">
        <f>AL55</f>
        <v>0.02</v>
      </c>
      <c r="AR55" s="72">
        <f>(BA55-AQ55)/(BA$4-AQ$4)+AQ55</f>
        <v>0.02</v>
      </c>
      <c r="AS55" s="72">
        <f>(BA55-AQ55)/(BA$4-AQ$4)+AR55</f>
        <v>0.02</v>
      </c>
      <c r="AT55" s="72">
        <f>(BA55-AQ55)/(BA$4-AQ$4)+AS55</f>
        <v>0.02</v>
      </c>
      <c r="AU55" s="72">
        <f>(BA55-AQ55)/(BA$4-AQ$4)+AT55</f>
        <v>0.02</v>
      </c>
      <c r="AV55" s="72">
        <f>(BA55-AQ55)/(BA$4-AQ$4)+AU55</f>
        <v>0.02</v>
      </c>
      <c r="AW55" s="72">
        <f>(BA55-AQ55)/(BA$4-AQ$4)+AV55</f>
        <v>0.02</v>
      </c>
      <c r="AX55" s="72">
        <f>(BA55-AQ55)/(BA$4-AQ$4)+AW55</f>
        <v>0.02</v>
      </c>
      <c r="AY55" s="72">
        <f>(BA55-AQ55)/(BA$4-AQ$4)+AX55</f>
        <v>0.02</v>
      </c>
      <c r="AZ55" s="72">
        <f>(BA55-AQ55)/(BA$4-AQ$4)+AY55</f>
        <v>0.02</v>
      </c>
      <c r="BA55" s="72">
        <f>AM55</f>
        <v>0.02</v>
      </c>
      <c r="BB55" s="72">
        <f>(BK55-BA55)/(BK$4-BA$4)+BA55</f>
        <v>1.8000000000000002E-2</v>
      </c>
      <c r="BC55" s="72">
        <f>(BK55-BA55)/(BK$4-BA$4)+BB55</f>
        <v>1.6E-2</v>
      </c>
      <c r="BD55" s="72">
        <f>(BK55-BA55)/(BK$4-BA$4)+BC55</f>
        <v>1.4E-2</v>
      </c>
      <c r="BE55" s="72">
        <f>(BK55-BA55)/(BK$4-BA$4)+BD55</f>
        <v>1.2E-2</v>
      </c>
      <c r="BF55" s="72">
        <f>(BK55-BA55)/(BK$4-BA$4)+BE55</f>
        <v>0.01</v>
      </c>
      <c r="BG55" s="72">
        <f>(BK55-BA55)/(BK$4-BA$4)+BF55</f>
        <v>8.0000000000000002E-3</v>
      </c>
      <c r="BH55" s="72">
        <f>(BK55-BA55)/(BK$4-BA$4)+BG55</f>
        <v>6.0000000000000001E-3</v>
      </c>
      <c r="BI55" s="72">
        <f>(BK55-BA55)/(BK$4-BA$4)+BH55</f>
        <v>4.0000000000000001E-3</v>
      </c>
      <c r="BJ55" s="72">
        <f>(BK55-BA55)/(BK$4-BA$4)+BI55</f>
        <v>2E-3</v>
      </c>
      <c r="BK55" s="72">
        <f>AN55</f>
        <v>0</v>
      </c>
      <c r="BL55" s="72">
        <f>(BN55-BK55)/(BN$4-BK$4)+BK55</f>
        <v>0</v>
      </c>
      <c r="BM55" s="72">
        <f>(BK55+BN55)/2</f>
        <v>0</v>
      </c>
      <c r="BN55" s="72">
        <f>AO55</f>
        <v>0</v>
      </c>
      <c r="BO55">
        <f>SUMIF(SourceData!$BD$3:$BP$3,$C54,SourceData!$BD$1:$BP$1)</f>
        <v>0</v>
      </c>
      <c r="BP55" s="84">
        <f ca="1">IF($BO55,OFFSET(SourceData!$BC$4,MATCH(BP54,SourceData!$BC$5:$BC$28,0),MATCH($C58,SourceData!$BD$3:$BP$3,0)),K55*K58)</f>
        <v>85.850000000000009</v>
      </c>
      <c r="BQ55" s="84">
        <f ca="1">IF($BO55,OFFSET(SourceData!$BC$4,MATCH(BQ54,SourceData!$BC$5:$BC$28,0),MATCH($C58,SourceData!$BD$3:$BP$3,0)),L55*L58)</f>
        <v>104.76</v>
      </c>
      <c r="BR55" s="84">
        <f ca="1">IF($BO55,OFFSET(SourceData!$BC$4,MATCH(BR54,SourceData!$BC$5:$BC$28,0),MATCH($C58,SourceData!$BD$3:$BP$3,0)),M55*M58)</f>
        <v>130.76000000000002</v>
      </c>
      <c r="BS55" s="84">
        <f ca="1">IF($BO55,OFFSET(SourceData!$BC$4,MATCH(BS54,SourceData!$BC$5:$BC$28,0),MATCH($C58,SourceData!$BD$3:$BP$3,0)),N55*N58)</f>
        <v>160.96</v>
      </c>
      <c r="BT55" s="84">
        <f ca="1">IF($BO55,OFFSET(SourceData!$BC$4,MATCH(BT54,SourceData!$BC$5:$BC$28,0),MATCH($C58,SourceData!$BD$3:$BP$3,0)),O55*O58)</f>
        <v>195.66</v>
      </c>
      <c r="BU55" s="84">
        <f ca="1">IF($BO55,OFFSET(SourceData!$BC$4,MATCH(BU54,SourceData!$BC$5:$BC$28,0),MATCH($C58,SourceData!$BD$3:$BP$3,0)),P55*P58)</f>
        <v>234.60000000000002</v>
      </c>
      <c r="BV55" s="84">
        <f ca="1">IF($BO55,OFFSET(SourceData!$BC$4,MATCH(BV54,SourceData!$BC$5:$BC$28,0),MATCH($C58,SourceData!$BD$3:$BP$3,0)),Q55*Q58)</f>
        <v>265.65000000000003</v>
      </c>
      <c r="BW55" s="84">
        <f ca="1">IF($BO55,OFFSET(SourceData!$BC$4,MATCH(BW54,SourceData!$BC$5:$BC$28,0),MATCH($C58,SourceData!$BD$3:$BP$3,0)),R55*R58)</f>
        <v>299.64000000000004</v>
      </c>
      <c r="BX55" s="84">
        <f ca="1">IF($BO55,OFFSET(SourceData!$BC$4,MATCH(BX54,SourceData!$BC$5:$BC$28,0),MATCH($C58,SourceData!$BD$3:$BP$3,0)),S55*S58)</f>
        <v>337.18000000000006</v>
      </c>
      <c r="BY55" s="84">
        <f ca="1">IF($BO55,OFFSET(SourceData!$BC$4,MATCH(BY54,SourceData!$BC$5:$BC$28,0),MATCH($C58,SourceData!$BD$3:$BP$3,0)),T55*T58)</f>
        <v>378.24000000000007</v>
      </c>
      <c r="BZ55" s="84">
        <f ca="1">IF($BO55,OFFSET(SourceData!$BC$4,MATCH(BZ54,SourceData!$BC$5:$BC$28,0),MATCH($C58,SourceData!$BD$3:$BP$3,0)),U55*U58)</f>
        <v>423.5</v>
      </c>
      <c r="CA55" s="84">
        <f ca="1">IF($BO55,OFFSET(SourceData!$BC$4,MATCH(CA54,SourceData!$BC$5:$BC$28,0),MATCH($C58,SourceData!$BD$3:$BP$3,0)),V55*V58)</f>
        <v>464.1</v>
      </c>
      <c r="CB55" s="84">
        <f ca="1">IF($BO55,OFFSET(SourceData!$BC$4,MATCH(CB54,SourceData!$BC$5:$BC$28,0),MATCH($C58,SourceData!$BD$3:$BP$3,0)),W55*W58)</f>
        <v>507.78000000000003</v>
      </c>
      <c r="CC55" s="84">
        <f ca="1">IF($BO55,OFFSET(SourceData!$BC$4,MATCH(CC54,SourceData!$BC$5:$BC$28,0),MATCH($C58,SourceData!$BD$3:$BP$3,0)),X55*X58)</f>
        <v>555.17500000000007</v>
      </c>
      <c r="CD55" s="84">
        <f ca="1">IF($BO55,OFFSET(SourceData!$BC$4,MATCH(CD54,SourceData!$BC$5:$BC$28,0),MATCH($C58,SourceData!$BD$3:$BP$3,0)),Y55*Y58)</f>
        <v>606.69000000000005</v>
      </c>
      <c r="CE55" s="84">
        <f ca="1">IF($BO55,OFFSET(SourceData!$BC$4,MATCH(CE54,SourceData!$BC$5:$BC$28,0),MATCH($C58,SourceData!$BD$3:$BP$3,0)),Z55*Z58)</f>
        <v>662.2</v>
      </c>
      <c r="CF55" s="84">
        <f ca="1">IF($BO55,OFFSET(SourceData!$BC$4,MATCH(CF54,SourceData!$BC$5:$BC$28,0),MATCH($C58,SourceData!$BD$3:$BP$3,0)),AA55*AA58)</f>
        <v>722.16477299280939</v>
      </c>
      <c r="CG55" s="84">
        <f ca="1">IF($BO55,OFFSET(SourceData!$BC$4,MATCH(CG54,SourceData!$BC$5:$BC$28,0),MATCH($C58,SourceData!$BD$3:$BP$3,0)),AB55*AB58)</f>
        <v>786.86878599963825</v>
      </c>
      <c r="CH55" s="84">
        <f ca="1">IF($BO55,OFFSET(SourceData!$BC$4,MATCH(CH54,SourceData!$BC$5:$BC$28,0),MATCH($C58,SourceData!$BD$3:$BP$3,0)),AC55*AC58)</f>
        <v>856.62730367538188</v>
      </c>
      <c r="CI55" s="84">
        <f ca="1">IF($BO55,OFFSET(SourceData!$BC$4,MATCH(CI54,SourceData!$BC$5:$BC$28,0),MATCH($C58,SourceData!$BD$3:$BP$3,0)),AD55*AD58)</f>
        <v>931.77170885693795</v>
      </c>
      <c r="CJ55" s="84">
        <f ca="1">IF($BO55,OFFSET(SourceData!$BC$4,MATCH(CJ54,SourceData!$BC$5:$BC$28,0),MATCH($C58,SourceData!$BD$3:$BP$3,0)),AE55*AE58)</f>
        <v>1007.002766380656</v>
      </c>
      <c r="CK55" s="84">
        <f ca="1">IF($BO55,OFFSET(SourceData!$BC$4,MATCH(CK54,SourceData!$BC$5:$BC$28,0),MATCH($C58,SourceData!$BD$3:$BP$3,0)),AF55*AF58)</f>
        <v>1076.170911097357</v>
      </c>
      <c r="CL55" s="84">
        <f ca="1">IF($BO55,OFFSET(SourceData!$BC$4,MATCH(CL54,SourceData!$BC$5:$BC$28,0),MATCH($C58,SourceData!$BD$3:$BP$3,0)),AG55*AG58)</f>
        <v>1956.7552885264729</v>
      </c>
      <c r="CM55" s="84">
        <f ca="1">IF($BO55,OFFSET(SourceData!$BC$4,MATCH(CM54,SourceData!$BC$5:$BC$28,0),MATCH($C58,SourceData!$BD$3:$BP$3,0)),AH55*AH58)</f>
        <v>3802.2648864590756</v>
      </c>
      <c r="CN55" s="118" t="str">
        <f t="shared" ref="CN55:CN57" ca="1" si="2019">CO55&amp;" "&amp;CP55&amp;" "&amp;CQ55&amp;" "&amp;CR55&amp;" "&amp;CS55&amp;" "&amp;CT55&amp;" "&amp;CU55&amp;" "&amp;CV55&amp;" "&amp;CW55&amp;" "&amp;CX55&amp;" "&amp;CY55&amp;" "&amp;CZ55&amp;" "&amp;DA55&amp;" "&amp;DB55&amp;" "&amp;DC55&amp;" "&amp;DD55&amp;" "&amp;DE55&amp;" "&amp;DF55&amp;" "&amp;DG55&amp;" "&amp;DH55&amp;" "&amp;DI55&amp;" "&amp;DJ55&amp;" "&amp;DK55&amp;" "&amp;DL55&amp;" "</f>
        <v xml:space="preserve">9.1 11.1 13.9 17.1 20.8 24.9 28.2 31.8 35.8 40.2 45 49.4 54.2 59.4 65 71.1 77.7 84.8 92.5 100.8 109.2 116.7 212.2 412.3 </v>
      </c>
      <c r="CO55" s="117">
        <f ca="1">ROUND(BP55*(1-AQ55)*(1-$AK55)/8.76,1)</f>
        <v>9.1</v>
      </c>
      <c r="CP55" s="117">
        <f t="shared" ref="CP55:CP57" ca="1" si="2020">ROUND(BQ55*(1-AR55)*(1-$AK55)/8.76,1)</f>
        <v>11.1</v>
      </c>
      <c r="CQ55" s="117">
        <f t="shared" ref="CQ55:CQ57" ca="1" si="2021">ROUND(BR55*(1-AS55)*(1-$AK55)/8.76,1)</f>
        <v>13.9</v>
      </c>
      <c r="CR55" s="117">
        <f t="shared" ref="CR55:CR57" ca="1" si="2022">ROUND(BS55*(1-AT55)*(1-$AK55)/8.76,1)</f>
        <v>17.100000000000001</v>
      </c>
      <c r="CS55" s="117">
        <f t="shared" ref="CS55:CS57" ca="1" si="2023">ROUND(BT55*(1-AU55)*(1-$AK55)/8.76,1)</f>
        <v>20.8</v>
      </c>
      <c r="CT55" s="117">
        <f t="shared" ref="CT55:CT57" ca="1" si="2024">ROUND(BU55*(1-AV55)*(1-$AK55)/8.76,1)</f>
        <v>24.9</v>
      </c>
      <c r="CU55" s="117">
        <f t="shared" ref="CU55:CU57" ca="1" si="2025">ROUND(BV55*(1-AW55)*(1-$AK55)/8.76,1)</f>
        <v>28.2</v>
      </c>
      <c r="CV55" s="117">
        <f t="shared" ref="CV55:CV57" ca="1" si="2026">ROUND(BW55*(1-AX55)*(1-$AK55)/8.76,1)</f>
        <v>31.8</v>
      </c>
      <c r="CW55" s="117">
        <f t="shared" ref="CW55:CW57" ca="1" si="2027">ROUND(BX55*(1-AY55)*(1-$AK55)/8.76,1)</f>
        <v>35.799999999999997</v>
      </c>
      <c r="CX55" s="117">
        <f t="shared" ref="CX55:CX57" ca="1" si="2028">ROUND(BY55*(1-AZ55)*(1-$AK55)/8.76,1)</f>
        <v>40.200000000000003</v>
      </c>
      <c r="CY55" s="117">
        <f t="shared" ref="CY55:CY57" ca="1" si="2029">ROUND(BZ55*(1-BA55)*(1-$AK55)/8.76,1)</f>
        <v>45</v>
      </c>
      <c r="CZ55" s="117">
        <f t="shared" ref="CZ55:CZ57" ca="1" si="2030">ROUND(CA55*(1-BB55)*(1-$AK55)/8.76,1)</f>
        <v>49.4</v>
      </c>
      <c r="DA55" s="117">
        <f t="shared" ref="DA55:DA57" ca="1" si="2031">ROUND(CB55*(1-BC55)*(1-$AK55)/8.76,1)</f>
        <v>54.2</v>
      </c>
      <c r="DB55" s="117">
        <f t="shared" ref="DB55:DB57" ca="1" si="2032">ROUND(CC55*(1-BD55)*(1-$AK55)/8.76,1)</f>
        <v>59.4</v>
      </c>
      <c r="DC55" s="117">
        <f t="shared" ref="DC55:DC57" ca="1" si="2033">ROUND(CD55*(1-BE55)*(1-$AK55)/8.76,1)</f>
        <v>65</v>
      </c>
      <c r="DD55" s="117">
        <f t="shared" ref="DD55:DD57" ca="1" si="2034">ROUND(CE55*(1-BF55)*(1-$AK55)/8.76,1)</f>
        <v>71.099999999999994</v>
      </c>
      <c r="DE55" s="117">
        <f ca="1">ROUND(CF55*(1-BG55)*(1-$AK55)/8.76,1)</f>
        <v>77.7</v>
      </c>
      <c r="DF55" s="117">
        <f t="shared" ref="DF55:DF57" ca="1" si="2035">ROUND(CG55*(1-BH55)*(1-$AK55)/8.76,1)</f>
        <v>84.8</v>
      </c>
      <c r="DG55" s="117">
        <f t="shared" ref="DG55:DG57" ca="1" si="2036">ROUND(CH55*(1-BI55)*(1-$AK55)/8.76,1)</f>
        <v>92.5</v>
      </c>
      <c r="DH55" s="117">
        <f ca="1">ROUND(CI55*(1-BJ55)*(1-$AK55)/8.76,1)</f>
        <v>100.8</v>
      </c>
      <c r="DI55" s="117">
        <f t="shared" ref="DI55:DI57" ca="1" si="2037">ROUND(CJ55*(1-BK55)*(1-$AK55)/8.76,1)</f>
        <v>109.2</v>
      </c>
      <c r="DJ55" s="117">
        <f ca="1">ROUND(CK55*(1-BL55)*(1-$AK55)/8.76,1)</f>
        <v>116.7</v>
      </c>
      <c r="DK55" s="117">
        <f ca="1">ROUND(CL55*(1-BM55)*(1-$AK55)/8.76,1)</f>
        <v>212.2</v>
      </c>
      <c r="DL55" s="117">
        <f t="shared" ref="DL55:DL57" ca="1" si="2038">ROUND(CM55*(1-BN55)*(1-$AK55)/8.76,1)</f>
        <v>412.3</v>
      </c>
      <c r="DM55" s="118" t="str">
        <f t="shared" ref="DM55:DM57" si="2039">DN55&amp;" "&amp;DO55&amp;" "&amp;DP55&amp;" "&amp;DQ55&amp;" "&amp;DR55&amp;" "&amp;DS55&amp;" "&amp;DT55&amp;" "&amp;DU55&amp;" "&amp;DV55&amp;" "&amp;DW55&amp;" "&amp;DX55&amp;" "&amp;DY55&amp;" "&amp;DZ55&amp;" "&amp;EA55&amp;" "&amp;EB55&amp;" "&amp;EC55&amp;" "&amp;ED55&amp;" "&amp;EE55&amp;" "&amp;EF55&amp;" "&amp;EG55&amp;" "&amp;EH55&amp;" "&amp;EI55&amp;" "&amp;EJ55&amp;" "&amp;EK55&amp;" "</f>
        <v xml:space="preserve">0.98 0.98 0.98 0.98 0.98 0.98 0.98 0.98 0.98 0.98 0.98 0.982 0.984 0.986 0.988 0.99 0.992 0.994 0.996 0.998 1 1 1 1 </v>
      </c>
      <c r="DN55" s="72">
        <f>1-AQ55</f>
        <v>0.98</v>
      </c>
      <c r="DO55" s="72">
        <f t="shared" ref="DO55:DO57" si="2040">1-AR55</f>
        <v>0.98</v>
      </c>
      <c r="DP55" s="72">
        <f t="shared" ref="DP55:DP57" si="2041">1-AS55</f>
        <v>0.98</v>
      </c>
      <c r="DQ55" s="72">
        <f t="shared" ref="DQ55:DQ57" si="2042">1-AT55</f>
        <v>0.98</v>
      </c>
      <c r="DR55" s="72">
        <f t="shared" ref="DR55:DR57" si="2043">1-AU55</f>
        <v>0.98</v>
      </c>
      <c r="DS55" s="72">
        <f t="shared" ref="DS55:DS57" si="2044">1-AV55</f>
        <v>0.98</v>
      </c>
      <c r="DT55" s="72">
        <f t="shared" ref="DT55:DT57" si="2045">1-AW55</f>
        <v>0.98</v>
      </c>
      <c r="DU55" s="72">
        <f t="shared" ref="DU55:DU57" si="2046">1-AX55</f>
        <v>0.98</v>
      </c>
      <c r="DV55" s="72">
        <f t="shared" ref="DV55:DV57" si="2047">1-AY55</f>
        <v>0.98</v>
      </c>
      <c r="DW55" s="72">
        <f t="shared" ref="DW55:DW57" si="2048">1-AZ55</f>
        <v>0.98</v>
      </c>
      <c r="DX55" s="72">
        <f t="shared" ref="DX55:DX57" si="2049">1-BA55</f>
        <v>0.98</v>
      </c>
      <c r="DY55" s="72">
        <f t="shared" ref="DY55:DY57" si="2050">1-BB55</f>
        <v>0.98199999999999998</v>
      </c>
      <c r="DZ55" s="72">
        <f t="shared" ref="DZ55:DZ57" si="2051">1-BC55</f>
        <v>0.98399999999999999</v>
      </c>
      <c r="EA55" s="72">
        <f t="shared" ref="EA55:EA57" si="2052">1-BD55</f>
        <v>0.98599999999999999</v>
      </c>
      <c r="EB55" s="72">
        <f t="shared" ref="EB55:EB57" si="2053">1-BE55</f>
        <v>0.98799999999999999</v>
      </c>
      <c r="EC55" s="72">
        <f t="shared" ref="EC55:EC57" si="2054">1-BF55</f>
        <v>0.99</v>
      </c>
      <c r="ED55" s="72">
        <f t="shared" ref="ED55:ED57" si="2055">1-BG55</f>
        <v>0.99199999999999999</v>
      </c>
      <c r="EE55" s="72">
        <f t="shared" ref="EE55:EE57" si="2056">1-BH55</f>
        <v>0.99399999999999999</v>
      </c>
      <c r="EF55" s="72">
        <f t="shared" ref="EF55:EF57" si="2057">1-BI55</f>
        <v>0.996</v>
      </c>
      <c r="EG55" s="72">
        <f t="shared" ref="EG55:EG57" si="2058">1-BJ55</f>
        <v>0.998</v>
      </c>
      <c r="EH55" s="72">
        <f t="shared" ref="EH55:EH57" si="2059">1-BK55</f>
        <v>1</v>
      </c>
      <c r="EI55" s="72">
        <f t="shared" ref="EI55:EI57" si="2060">1-BL55</f>
        <v>1</v>
      </c>
      <c r="EJ55" s="72">
        <f t="shared" ref="EJ55:EJ57" si="2061">1-BM55</f>
        <v>1</v>
      </c>
      <c r="EK55" s="72">
        <f t="shared" ref="EK55:EK57" si="2062">1-BN55</f>
        <v>1</v>
      </c>
    </row>
    <row r="56" spans="1:141" x14ac:dyDescent="0.25">
      <c r="A56" t="str">
        <f t="shared" si="20"/>
        <v>UrbanBUR</v>
      </c>
      <c r="B56" t="str">
        <f t="shared" si="2016"/>
        <v>Urban</v>
      </c>
      <c r="C56" t="str">
        <f>IFERROR(VLOOKUP(D56,'For model'!$B$4:$C$16,2,FALSE),C55)</f>
        <v>BUR</v>
      </c>
      <c r="D56" t="s">
        <v>536</v>
      </c>
      <c r="E56" s="72">
        <f>1-E55-E57</f>
        <v>0.88</v>
      </c>
      <c r="F56" s="72">
        <f>1-F55-F57</f>
        <v>0.77</v>
      </c>
      <c r="G56" s="72">
        <f t="shared" ref="G56:H56" si="2063">1-G55-G57</f>
        <v>0.7</v>
      </c>
      <c r="H56" s="72">
        <f t="shared" si="2063"/>
        <v>0.6</v>
      </c>
      <c r="I56" s="72">
        <f t="shared" ref="I56" si="2064">1-I55-I57</f>
        <v>0.6</v>
      </c>
      <c r="K56" s="72">
        <f t="shared" ref="K56:K57" si="2065">E56</f>
        <v>0.88</v>
      </c>
      <c r="L56" s="72">
        <f t="shared" ref="L56:O56" si="2066">($P56-$K56)/($P$4-$K$4)+K56</f>
        <v>0.85799999999999998</v>
      </c>
      <c r="M56" s="72">
        <f t="shared" si="2066"/>
        <v>0.83599999999999997</v>
      </c>
      <c r="N56" s="72">
        <f t="shared" si="2066"/>
        <v>0.81399999999999995</v>
      </c>
      <c r="O56" s="72">
        <f t="shared" si="2066"/>
        <v>0.79199999999999993</v>
      </c>
      <c r="P56" s="72">
        <f t="shared" ref="P56:P57" si="2067">F56</f>
        <v>0.77</v>
      </c>
      <c r="Q56" s="72">
        <f t="shared" ref="Q56:T56" si="2068">($U56-$P56)/($U$4-$P$4)+P56</f>
        <v>0.75600000000000001</v>
      </c>
      <c r="R56" s="72">
        <f t="shared" si="2068"/>
        <v>0.74199999999999999</v>
      </c>
      <c r="S56" s="72">
        <f t="shared" si="2068"/>
        <v>0.72799999999999998</v>
      </c>
      <c r="T56" s="72">
        <f t="shared" si="2068"/>
        <v>0.71399999999999997</v>
      </c>
      <c r="U56" s="72">
        <f t="shared" ref="U56:U57" si="2069">G56</f>
        <v>0.7</v>
      </c>
      <c r="V56" s="72">
        <f t="shared" ref="V56:V57" si="2070">(AE56-U56)/(AE$4-U$4)+U56</f>
        <v>0.69</v>
      </c>
      <c r="W56" s="72">
        <f t="shared" ref="W56:W57" si="2071">(AE56-U56)/(AE$4-U$4)+V56</f>
        <v>0.67999999999999994</v>
      </c>
      <c r="X56" s="72">
        <f t="shared" ref="X56:X57" si="2072">(AE56-U56)/(AE$4-U$4)+W56</f>
        <v>0.66999999999999993</v>
      </c>
      <c r="Y56" s="72">
        <f t="shared" ref="Y56:Y57" si="2073">(AE56-U56)/(AE$4-U$4)+X56</f>
        <v>0.65999999999999992</v>
      </c>
      <c r="Z56" s="72">
        <f t="shared" ref="Z56:Z57" si="2074">(AE56-U56)/(AE$4-U$4)+Y56</f>
        <v>0.64999999999999991</v>
      </c>
      <c r="AA56" s="72">
        <f t="shared" ref="AA56:AA57" si="2075">(AE56-U56)/(AE$4-U$4)+Z56</f>
        <v>0.6399999999999999</v>
      </c>
      <c r="AB56" s="72">
        <f t="shared" ref="AB56:AB57" si="2076">(AE56-U56)/(AE$4-U$4)+AA56</f>
        <v>0.62999999999999989</v>
      </c>
      <c r="AC56" s="72">
        <f t="shared" ref="AC56:AC57" si="2077">(AE56-U56)/(AE$4-U$4)+AB56</f>
        <v>0.61999999999999988</v>
      </c>
      <c r="AD56" s="72">
        <f t="shared" ref="AD56:AD57" si="2078">(AE56-U56)/(AE$4-U$4)+AC56</f>
        <v>0.60999999999999988</v>
      </c>
      <c r="AE56" s="72">
        <f t="shared" ref="AE56:AE57" si="2079">H56</f>
        <v>0.6</v>
      </c>
      <c r="AF56" s="72">
        <f>(AH56-AE56)/(AH$4-AE$4)+AE56</f>
        <v>0.6</v>
      </c>
      <c r="AG56" s="72">
        <f t="shared" ref="AG56:AG57" si="2080">(AE56+AH56)/2</f>
        <v>0.6</v>
      </c>
      <c r="AH56" s="72">
        <f>I56</f>
        <v>0.6</v>
      </c>
      <c r="AJ56" s="72" t="s">
        <v>548</v>
      </c>
      <c r="AK56" s="72">
        <f>AK55</f>
        <v>0.05</v>
      </c>
      <c r="AL56" s="111">
        <v>0.12</v>
      </c>
      <c r="AM56" s="72">
        <v>0.1</v>
      </c>
      <c r="AN56" s="72">
        <v>0.08</v>
      </c>
      <c r="AO56" s="72">
        <f>AN56</f>
        <v>0.08</v>
      </c>
      <c r="AP56" s="118" t="str">
        <f>AQ56&amp;" "&amp;AR56&amp;" "&amp;AS56&amp;" "&amp;AT56&amp;" "&amp;AU56&amp;" "&amp;AV56&amp;" "&amp;AW56&amp;" "&amp;AX56&amp;" "&amp;AY56&amp;" "&amp;AZ56&amp;" "&amp;BA56&amp;" "&amp;BB56&amp;" "&amp;BC56&amp;" "&amp;BD56&amp;" "&amp;BE56&amp;" "&amp;BF56&amp;" "&amp;BG56&amp;" "&amp;BH56&amp;" "&amp;BI56&amp;" "&amp;BJ56&amp;" "&amp;BK56&amp;" "&amp;BL56&amp;" "&amp;BM56&amp;" "&amp;BN56&amp;" "</f>
        <v xml:space="preserve">0.12 0.118 0.116 0.114 0.112 0.11 0.108 0.106 0.104 0.102 0.1 0.098 0.096 0.094 0.092 0.09 0.088 0.086 0.084 0.082 0.08 0.08 0.08 0.08 </v>
      </c>
      <c r="AQ56" s="72">
        <f t="shared" ref="AQ56:AQ57" si="2081">AL56</f>
        <v>0.12</v>
      </c>
      <c r="AR56" s="72">
        <f t="shared" ref="AR56:AR57" si="2082">(BA56-AQ56)/(BA$4-AQ$4)+AQ56</f>
        <v>0.11799999999999999</v>
      </c>
      <c r="AS56" s="72">
        <f t="shared" ref="AS56:AS57" si="2083">(BA56-AQ56)/(BA$4-AQ$4)+AR56</f>
        <v>0.11599999999999999</v>
      </c>
      <c r="AT56" s="72">
        <f t="shared" ref="AT56:AT57" si="2084">(BA56-AQ56)/(BA$4-AQ$4)+AS56</f>
        <v>0.11399999999999999</v>
      </c>
      <c r="AU56" s="72">
        <f t="shared" ref="AU56:AU57" si="2085">(BA56-AQ56)/(BA$4-AQ$4)+AT56</f>
        <v>0.11199999999999999</v>
      </c>
      <c r="AV56" s="72">
        <f t="shared" ref="AV56:AV57" si="2086">(BA56-AQ56)/(BA$4-AQ$4)+AU56</f>
        <v>0.10999999999999999</v>
      </c>
      <c r="AW56" s="72">
        <f t="shared" ref="AW56:AW57" si="2087">(BA56-AQ56)/(BA$4-AQ$4)+AV56</f>
        <v>0.10799999999999998</v>
      </c>
      <c r="AX56" s="72">
        <f t="shared" ref="AX56:AX57" si="2088">(BA56-AQ56)/(BA$4-AQ$4)+AW56</f>
        <v>0.10599999999999998</v>
      </c>
      <c r="AY56" s="72">
        <f t="shared" ref="AY56:AY57" si="2089">(BA56-AQ56)/(BA$4-AQ$4)+AX56</f>
        <v>0.10399999999999998</v>
      </c>
      <c r="AZ56" s="72">
        <f t="shared" ref="AZ56:AZ57" si="2090">(BA56-AQ56)/(BA$4-AQ$4)+AY56</f>
        <v>0.10199999999999998</v>
      </c>
      <c r="BA56" s="72">
        <f t="shared" ref="BA56:BA57" si="2091">AM56</f>
        <v>0.1</v>
      </c>
      <c r="BB56" s="72">
        <f t="shared" ref="BB56:BB57" si="2092">(BK56-BA56)/(BK$4-BA$4)+BA56</f>
        <v>9.8000000000000004E-2</v>
      </c>
      <c r="BC56" s="72">
        <f t="shared" ref="BC56:BC57" si="2093">(BK56-BA56)/(BK$4-BA$4)+BB56</f>
        <v>9.6000000000000002E-2</v>
      </c>
      <c r="BD56" s="72">
        <f t="shared" ref="BD56:BD57" si="2094">(BK56-BA56)/(BK$4-BA$4)+BC56</f>
        <v>9.4E-2</v>
      </c>
      <c r="BE56" s="72">
        <f t="shared" ref="BE56:BE57" si="2095">(BK56-BA56)/(BK$4-BA$4)+BD56</f>
        <v>9.1999999999999998E-2</v>
      </c>
      <c r="BF56" s="72">
        <f t="shared" ref="BF56:BF57" si="2096">(BK56-BA56)/(BK$4-BA$4)+BE56</f>
        <v>0.09</v>
      </c>
      <c r="BG56" s="72">
        <f t="shared" ref="BG56:BG57" si="2097">(BK56-BA56)/(BK$4-BA$4)+BF56</f>
        <v>8.7999999999999995E-2</v>
      </c>
      <c r="BH56" s="72">
        <f t="shared" ref="BH56:BH57" si="2098">(BK56-BA56)/(BK$4-BA$4)+BG56</f>
        <v>8.5999999999999993E-2</v>
      </c>
      <c r="BI56" s="72">
        <f t="shared" ref="BI56:BI57" si="2099">(BK56-BA56)/(BK$4-BA$4)+BH56</f>
        <v>8.3999999999999991E-2</v>
      </c>
      <c r="BJ56" s="72">
        <f t="shared" ref="BJ56:BJ57" si="2100">(BK56-BA56)/(BK$4-BA$4)+BI56</f>
        <v>8.199999999999999E-2</v>
      </c>
      <c r="BK56" s="72">
        <f t="shared" ref="BK56:BK57" si="2101">AN56</f>
        <v>0.08</v>
      </c>
      <c r="BL56" s="72">
        <f>(BN56-BK56)/(BN$4-BK$4)+BK56</f>
        <v>0.08</v>
      </c>
      <c r="BM56" s="72">
        <f t="shared" ref="BM56:BM57" si="2102">(BK56+BN56)/2</f>
        <v>0.08</v>
      </c>
      <c r="BN56" s="72">
        <f>AO56</f>
        <v>0.08</v>
      </c>
      <c r="BP56" s="84">
        <f ca="1">K56/(K56+K57)*(K58-BP55)</f>
        <v>755.4799999999999</v>
      </c>
      <c r="BQ56" s="84">
        <f t="shared" ref="BQ56" ca="1" si="2103">L56/(L56+L57)*(L58-BQ55)</f>
        <v>749.03399999999999</v>
      </c>
      <c r="BR56" s="84">
        <f t="shared" ref="BR56" ca="1" si="2104">M56/(M56+M57)*(M58-BR55)</f>
        <v>780.82399999999996</v>
      </c>
      <c r="BS56" s="84">
        <f t="shared" ref="BS56" ca="1" si="2105">N56/(N56+N57)*(N58-BS55)</f>
        <v>818.88400000000001</v>
      </c>
      <c r="BT56" s="84">
        <f t="shared" ref="BT56" ca="1" si="2106">O56/(O56+O57)*(O58-BT55)</f>
        <v>860.904</v>
      </c>
      <c r="BU56" s="84">
        <f t="shared" ref="BU56" ca="1" si="2107">P56/(P56+P57)*(P58-BU55)</f>
        <v>903.21</v>
      </c>
      <c r="BV56" s="84">
        <f t="shared" ref="BV56" ca="1" si="2108">Q56/(Q56+Q57)*(Q58-BV55)</f>
        <v>956.33999999999992</v>
      </c>
      <c r="BW56" s="84">
        <f t="shared" ref="BW56" ca="1" si="2109">R56/(R56+R57)*(R58-BW55)</f>
        <v>1010.6039999999998</v>
      </c>
      <c r="BX56" s="84">
        <f t="shared" ref="BX56" ca="1" si="2110">S56/(S56+S57)*(S58-BX55)</f>
        <v>1067.2479999999998</v>
      </c>
      <c r="BY56" s="84">
        <f t="shared" ref="BY56" ca="1" si="2111">T56/(T56+T57)*(T58-BY55)</f>
        <v>1125.2639999999999</v>
      </c>
      <c r="BZ56" s="84">
        <f t="shared" ref="BZ56" ca="1" si="2112">U56/(U56+U57)*(U58-BZ55)</f>
        <v>1185.8</v>
      </c>
      <c r="CA56" s="84">
        <f t="shared" ref="CA56" ca="1" si="2113">V56/(V56+V57)*(V58-CA55)</f>
        <v>1255.8</v>
      </c>
      <c r="CB56" s="84">
        <f t="shared" ref="CB56" ca="1" si="2114">W56/(W56+W57)*(W58-CB55)</f>
        <v>1328.04</v>
      </c>
      <c r="CC56" s="84">
        <f t="shared" ref="CC56" ca="1" si="2115">X56/(X56+X57)*(X58-CC55)</f>
        <v>1403.6499999999999</v>
      </c>
      <c r="CD56" s="84">
        <f t="shared" ref="CD56" ca="1" si="2116">Y56/(Y56+Y57)*(Y58-CD55)</f>
        <v>1483.02</v>
      </c>
      <c r="CE56" s="84">
        <f t="shared" ref="CE56" ca="1" si="2117">Z56/(Z56+Z57)*(Z58-CE55)</f>
        <v>1565.2</v>
      </c>
      <c r="CF56" s="84">
        <f t="shared" ref="CF56" ca="1" si="2118">AA56/(AA56+AA57)*(AA58-CF55)</f>
        <v>1650.6623382692781</v>
      </c>
      <c r="CG56" s="84">
        <f t="shared" ref="CG56" ca="1" si="2119">AB56/(AB56+AB57)*(AB58-CG55)</f>
        <v>1739.3941585255159</v>
      </c>
      <c r="CH56" s="84">
        <f t="shared" ref="CH56" ca="1" si="2120">AC56/(AC56+AC57)*(AC58-CH55)</f>
        <v>1831.4100975128847</v>
      </c>
      <c r="CI56" s="84">
        <f t="shared" ref="CI56" ca="1" si="2121">AD56/(AD56+AD57)*(AD58-CI55)</f>
        <v>1926.7143810262105</v>
      </c>
      <c r="CJ56" s="84">
        <f t="shared" ref="CJ56" ca="1" si="2122">AE56/(AE56+AE57)*(AE58-CJ55)</f>
        <v>2014.0055327613125</v>
      </c>
      <c r="CK56" s="84">
        <f t="shared" ref="CK56" ca="1" si="2123">AF56/(AF56+AF57)*(AF58-CK55)</f>
        <v>2152.3418221947145</v>
      </c>
      <c r="CL56" s="84">
        <f t="shared" ref="CL56" ca="1" si="2124">AG56/(AG56+AG57)*(AG58-CL55)</f>
        <v>3913.5105770529462</v>
      </c>
      <c r="CM56" s="84">
        <f t="shared" ref="CM56" ca="1" si="2125">AH56/(AH56+AH57)*(AH58-CM55)</f>
        <v>7604.529772918153</v>
      </c>
      <c r="CN56" s="118" t="str">
        <f t="shared" ca="1" si="2019"/>
        <v xml:space="preserve">72.1 71.6 74.9 78.7 82.9 87.2 92.5 98 103.7 109.6 115.7 122.8 130.2 137.9 146 154.5 163.3 172.4 181.9 191.8 200.9 214.7 390.5 758.7 </v>
      </c>
      <c r="CO56" s="117">
        <f t="shared" ref="CO56:CO57" ca="1" si="2126">ROUND(BP56*(1-AQ56)*(1-$AK56)/8.76,1)</f>
        <v>72.099999999999994</v>
      </c>
      <c r="CP56" s="117">
        <f t="shared" ca="1" si="2020"/>
        <v>71.599999999999994</v>
      </c>
      <c r="CQ56" s="117">
        <f t="shared" ca="1" si="2021"/>
        <v>74.900000000000006</v>
      </c>
      <c r="CR56" s="117">
        <f t="shared" ca="1" si="2022"/>
        <v>78.7</v>
      </c>
      <c r="CS56" s="117">
        <f t="shared" ca="1" si="2023"/>
        <v>82.9</v>
      </c>
      <c r="CT56" s="117">
        <f t="shared" ca="1" si="2024"/>
        <v>87.2</v>
      </c>
      <c r="CU56" s="117">
        <f t="shared" ca="1" si="2025"/>
        <v>92.5</v>
      </c>
      <c r="CV56" s="117">
        <f t="shared" ca="1" si="2026"/>
        <v>98</v>
      </c>
      <c r="CW56" s="117">
        <f t="shared" ca="1" si="2027"/>
        <v>103.7</v>
      </c>
      <c r="CX56" s="117">
        <f t="shared" ca="1" si="2028"/>
        <v>109.6</v>
      </c>
      <c r="CY56" s="117">
        <f t="shared" ca="1" si="2029"/>
        <v>115.7</v>
      </c>
      <c r="CZ56" s="117">
        <f t="shared" ca="1" si="2030"/>
        <v>122.8</v>
      </c>
      <c r="DA56" s="117">
        <f t="shared" ca="1" si="2031"/>
        <v>130.19999999999999</v>
      </c>
      <c r="DB56" s="117">
        <f t="shared" ca="1" si="2032"/>
        <v>137.9</v>
      </c>
      <c r="DC56" s="117">
        <f t="shared" ca="1" si="2033"/>
        <v>146</v>
      </c>
      <c r="DD56" s="117">
        <f t="shared" ca="1" si="2034"/>
        <v>154.5</v>
      </c>
      <c r="DE56" s="117">
        <f t="shared" ref="DE56:DE57" ca="1" si="2127">ROUND(CF56*(1-BG56)*(1-$AK56)/8.76,1)</f>
        <v>163.30000000000001</v>
      </c>
      <c r="DF56" s="117">
        <f t="shared" ca="1" si="2035"/>
        <v>172.4</v>
      </c>
      <c r="DG56" s="117">
        <f t="shared" ca="1" si="2036"/>
        <v>181.9</v>
      </c>
      <c r="DH56" s="117">
        <f t="shared" ref="DH56:DH57" ca="1" si="2128">ROUND(CI56*(1-BJ56)*(1-$AK56)/8.76,1)</f>
        <v>191.8</v>
      </c>
      <c r="DI56" s="117">
        <f t="shared" ca="1" si="2037"/>
        <v>200.9</v>
      </c>
      <c r="DJ56" s="117">
        <f t="shared" ref="DJ56:DJ57" ca="1" si="2129">ROUND(CK56*(1-BL56)*(1-$AK56)/8.76,1)</f>
        <v>214.7</v>
      </c>
      <c r="DK56" s="117">
        <f t="shared" ref="DK56:DK57" ca="1" si="2130">ROUND(CL56*(1-BM56)*(1-$AK56)/8.76,1)</f>
        <v>390.5</v>
      </c>
      <c r="DL56" s="117">
        <f t="shared" ca="1" si="2038"/>
        <v>758.7</v>
      </c>
      <c r="DM56" s="118" t="str">
        <f t="shared" si="2039"/>
        <v xml:space="preserve">0.88 0.882 0.884 0.886 0.888 0.89 0.892 0.894 0.896 0.898 0.9 0.902 0.904 0.906 0.908 0.91 0.912 0.914 0.916 0.918 0.92 0.92 0.92 0.92 </v>
      </c>
      <c r="DN56" s="72">
        <f t="shared" ref="DN56:DN57" si="2131">1-AQ56</f>
        <v>0.88</v>
      </c>
      <c r="DO56" s="72">
        <f t="shared" si="2040"/>
        <v>0.88200000000000001</v>
      </c>
      <c r="DP56" s="72">
        <f t="shared" si="2041"/>
        <v>0.88400000000000001</v>
      </c>
      <c r="DQ56" s="72">
        <f t="shared" si="2042"/>
        <v>0.88600000000000001</v>
      </c>
      <c r="DR56" s="72">
        <f t="shared" si="2043"/>
        <v>0.88800000000000001</v>
      </c>
      <c r="DS56" s="72">
        <f t="shared" si="2044"/>
        <v>0.89</v>
      </c>
      <c r="DT56" s="72">
        <f t="shared" si="2045"/>
        <v>0.89200000000000002</v>
      </c>
      <c r="DU56" s="72">
        <f t="shared" si="2046"/>
        <v>0.89400000000000002</v>
      </c>
      <c r="DV56" s="72">
        <f t="shared" si="2047"/>
        <v>0.89600000000000002</v>
      </c>
      <c r="DW56" s="72">
        <f t="shared" si="2048"/>
        <v>0.89800000000000002</v>
      </c>
      <c r="DX56" s="72">
        <f t="shared" si="2049"/>
        <v>0.9</v>
      </c>
      <c r="DY56" s="72">
        <f t="shared" si="2050"/>
        <v>0.90200000000000002</v>
      </c>
      <c r="DZ56" s="72">
        <f t="shared" si="2051"/>
        <v>0.90400000000000003</v>
      </c>
      <c r="EA56" s="72">
        <f t="shared" si="2052"/>
        <v>0.90600000000000003</v>
      </c>
      <c r="EB56" s="72">
        <f t="shared" si="2053"/>
        <v>0.90800000000000003</v>
      </c>
      <c r="EC56" s="72">
        <f t="shared" si="2054"/>
        <v>0.91</v>
      </c>
      <c r="ED56" s="72">
        <f t="shared" si="2055"/>
        <v>0.91200000000000003</v>
      </c>
      <c r="EE56" s="72">
        <f t="shared" si="2056"/>
        <v>0.91400000000000003</v>
      </c>
      <c r="EF56" s="72">
        <f t="shared" si="2057"/>
        <v>0.91600000000000004</v>
      </c>
      <c r="EG56" s="72">
        <f t="shared" si="2058"/>
        <v>0.91800000000000004</v>
      </c>
      <c r="EH56" s="72">
        <f t="shared" si="2059"/>
        <v>0.92</v>
      </c>
      <c r="EI56" s="72">
        <f t="shared" si="2060"/>
        <v>0.92</v>
      </c>
      <c r="EJ56" s="72">
        <f t="shared" si="2061"/>
        <v>0.92</v>
      </c>
      <c r="EK56" s="72">
        <f t="shared" si="2062"/>
        <v>0.92</v>
      </c>
    </row>
    <row r="57" spans="1:141" x14ac:dyDescent="0.25">
      <c r="A57" t="str">
        <f t="shared" si="20"/>
        <v>RuralBUR</v>
      </c>
      <c r="B57" t="str">
        <f t="shared" si="2016"/>
        <v>Rural</v>
      </c>
      <c r="C57" t="str">
        <f>IFERROR(VLOOKUP(D57,'For model'!$B$4:$C$16,2,FALSE),C56)</f>
        <v>BUR</v>
      </c>
      <c r="D57" t="s">
        <v>518</v>
      </c>
      <c r="E57" s="72">
        <v>0.02</v>
      </c>
      <c r="F57" s="72">
        <v>0.03</v>
      </c>
      <c r="G57" s="72">
        <v>0.05</v>
      </c>
      <c r="H57" s="72">
        <v>0.1</v>
      </c>
      <c r="I57" s="72">
        <v>0.1</v>
      </c>
      <c r="K57" s="72">
        <f t="shared" si="2065"/>
        <v>0.02</v>
      </c>
      <c r="L57" s="72">
        <f t="shared" ref="L57:O57" si="2132">($P57-$K57)/($P$4-$K$4)+K57</f>
        <v>2.1999999999999999E-2</v>
      </c>
      <c r="M57" s="72">
        <f t="shared" si="2132"/>
        <v>2.3999999999999997E-2</v>
      </c>
      <c r="N57" s="72">
        <f t="shared" si="2132"/>
        <v>2.5999999999999995E-2</v>
      </c>
      <c r="O57" s="72">
        <f t="shared" si="2132"/>
        <v>2.7999999999999994E-2</v>
      </c>
      <c r="P57" s="72">
        <f t="shared" si="2067"/>
        <v>0.03</v>
      </c>
      <c r="Q57" s="72">
        <f t="shared" ref="Q57:T57" si="2133">($U57-$P57)/($U$4-$P$4)+P57</f>
        <v>3.4000000000000002E-2</v>
      </c>
      <c r="R57" s="72">
        <f t="shared" si="2133"/>
        <v>3.8000000000000006E-2</v>
      </c>
      <c r="S57" s="72">
        <f t="shared" si="2133"/>
        <v>4.200000000000001E-2</v>
      </c>
      <c r="T57" s="72">
        <f t="shared" si="2133"/>
        <v>4.6000000000000013E-2</v>
      </c>
      <c r="U57" s="72">
        <f t="shared" si="2069"/>
        <v>0.05</v>
      </c>
      <c r="V57" s="72">
        <f t="shared" si="2070"/>
        <v>5.5E-2</v>
      </c>
      <c r="W57" s="72">
        <f t="shared" si="2071"/>
        <v>0.06</v>
      </c>
      <c r="X57" s="72">
        <f t="shared" si="2072"/>
        <v>6.5000000000000002E-2</v>
      </c>
      <c r="Y57" s="72">
        <f t="shared" si="2073"/>
        <v>7.0000000000000007E-2</v>
      </c>
      <c r="Z57" s="72">
        <f t="shared" si="2074"/>
        <v>7.5000000000000011E-2</v>
      </c>
      <c r="AA57" s="72">
        <f t="shared" si="2075"/>
        <v>8.0000000000000016E-2</v>
      </c>
      <c r="AB57" s="72">
        <f t="shared" si="2076"/>
        <v>8.500000000000002E-2</v>
      </c>
      <c r="AC57" s="72">
        <f t="shared" si="2077"/>
        <v>9.0000000000000024E-2</v>
      </c>
      <c r="AD57" s="72">
        <f t="shared" si="2078"/>
        <v>9.5000000000000029E-2</v>
      </c>
      <c r="AE57" s="72">
        <f t="shared" si="2079"/>
        <v>0.1</v>
      </c>
      <c r="AF57" s="72">
        <f>(AH57-AE57)/(AH$4-AE$4)+AE57</f>
        <v>0.1</v>
      </c>
      <c r="AG57" s="72">
        <f t="shared" si="2080"/>
        <v>0.1</v>
      </c>
      <c r="AH57" s="72">
        <f>I57</f>
        <v>0.1</v>
      </c>
      <c r="AJ57" s="116">
        <f>1-((1-AL57)*K57+(1-AL56)*K56+(1-AL55)*K55)*(1-AK55)</f>
        <v>0.15507000000000004</v>
      </c>
      <c r="AK57" s="72">
        <f>AK56</f>
        <v>0.05</v>
      </c>
      <c r="AL57" s="72">
        <v>0.15</v>
      </c>
      <c r="AM57" s="72">
        <v>0.2</v>
      </c>
      <c r="AN57" s="72">
        <v>0.2</v>
      </c>
      <c r="AO57" s="72">
        <f>AN57</f>
        <v>0.2</v>
      </c>
      <c r="AP57" s="118" t="str">
        <f>AQ57&amp;" "&amp;AR57&amp;" "&amp;AS57&amp;" "&amp;AT57&amp;" "&amp;AU57&amp;" "&amp;AV57&amp;" "&amp;AW57&amp;" "&amp;AX57&amp;" "&amp;AY57&amp;" "&amp;AZ57&amp;" "&amp;BA57&amp;" "&amp;BB57&amp;" "&amp;BC57&amp;" "&amp;BD57&amp;" "&amp;BE57&amp;" "&amp;BF57&amp;" "&amp;BG57&amp;" "&amp;BH57&amp;" "&amp;BI57&amp;" "&amp;BJ57&amp;" "&amp;BK57&amp;" "&amp;BL57&amp;" "&amp;BM57&amp;" "&amp;BN57&amp;" "</f>
        <v xml:space="preserve">0.15 0.155 0.16 0.165 0.17 0.175 0.18 0.185 0.19 0.195 0.2 0.2 0.2 0.2 0.2 0.2 0.2 0.2 0.2 0.2 0.2 0.2 0.2 0.2 </v>
      </c>
      <c r="AQ57" s="72">
        <f t="shared" si="2081"/>
        <v>0.15</v>
      </c>
      <c r="AR57" s="72">
        <f t="shared" si="2082"/>
        <v>0.155</v>
      </c>
      <c r="AS57" s="72">
        <f t="shared" si="2083"/>
        <v>0.16</v>
      </c>
      <c r="AT57" s="72">
        <f t="shared" si="2084"/>
        <v>0.16500000000000001</v>
      </c>
      <c r="AU57" s="72">
        <f t="shared" si="2085"/>
        <v>0.17</v>
      </c>
      <c r="AV57" s="72">
        <f t="shared" si="2086"/>
        <v>0.17500000000000002</v>
      </c>
      <c r="AW57" s="72">
        <f t="shared" si="2087"/>
        <v>0.18000000000000002</v>
      </c>
      <c r="AX57" s="72">
        <f t="shared" si="2088"/>
        <v>0.18500000000000003</v>
      </c>
      <c r="AY57" s="72">
        <f t="shared" si="2089"/>
        <v>0.19000000000000003</v>
      </c>
      <c r="AZ57" s="72">
        <f t="shared" si="2090"/>
        <v>0.19500000000000003</v>
      </c>
      <c r="BA57" s="72">
        <f t="shared" si="2091"/>
        <v>0.2</v>
      </c>
      <c r="BB57" s="72">
        <f t="shared" si="2092"/>
        <v>0.2</v>
      </c>
      <c r="BC57" s="72">
        <f t="shared" si="2093"/>
        <v>0.2</v>
      </c>
      <c r="BD57" s="72">
        <f t="shared" si="2094"/>
        <v>0.2</v>
      </c>
      <c r="BE57" s="72">
        <f t="shared" si="2095"/>
        <v>0.2</v>
      </c>
      <c r="BF57" s="72">
        <f t="shared" si="2096"/>
        <v>0.2</v>
      </c>
      <c r="BG57" s="72">
        <f t="shared" si="2097"/>
        <v>0.2</v>
      </c>
      <c r="BH57" s="72">
        <f t="shared" si="2098"/>
        <v>0.2</v>
      </c>
      <c r="BI57" s="72">
        <f t="shared" si="2099"/>
        <v>0.2</v>
      </c>
      <c r="BJ57" s="72">
        <f t="shared" si="2100"/>
        <v>0.2</v>
      </c>
      <c r="BK57" s="72">
        <f t="shared" si="2101"/>
        <v>0.2</v>
      </c>
      <c r="BL57" s="72">
        <f>(BN57-BK57)/(BN$4-BK$4)+BK57</f>
        <v>0.2</v>
      </c>
      <c r="BM57" s="72">
        <f t="shared" si="2102"/>
        <v>0.2</v>
      </c>
      <c r="BN57" s="72">
        <f>AO57</f>
        <v>0.2</v>
      </c>
      <c r="BP57" s="84">
        <f ca="1">K57/(K56+K57)*(K58-BP55)</f>
        <v>17.170000000000002</v>
      </c>
      <c r="BQ57" s="84">
        <f t="shared" ref="BQ57" ca="1" si="2134">L57/(L56+L57)*(L58-BQ55)</f>
        <v>19.206</v>
      </c>
      <c r="BR57" s="84">
        <f t="shared" ref="BR57" ca="1" si="2135">M57/(M56+M57)*(M58-BR55)</f>
        <v>22.415999999999997</v>
      </c>
      <c r="BS57" s="84">
        <f t="shared" ref="BS57" ca="1" si="2136">N57/(N56+N57)*(N58-BS55)</f>
        <v>26.155999999999995</v>
      </c>
      <c r="BT57" s="84">
        <f t="shared" ref="BT57" ca="1" si="2137">O57/(O56+O57)*(O58-BT55)</f>
        <v>30.435999999999996</v>
      </c>
      <c r="BU57" s="84">
        <f t="shared" ref="BU57" ca="1" si="2138">P57/(P56+P57)*(P58-BU55)</f>
        <v>35.19</v>
      </c>
      <c r="BV57" s="84">
        <f t="shared" ref="BV57" ca="1" si="2139">Q57/(Q56+Q57)*(Q58-BV55)</f>
        <v>43.01</v>
      </c>
      <c r="BW57" s="84">
        <f t="shared" ref="BW57" ca="1" si="2140">R57/(R56+R57)*(R58-BW55)</f>
        <v>51.756</v>
      </c>
      <c r="BX57" s="84">
        <f t="shared" ref="BX57" ca="1" si="2141">S57/(S56+S57)*(S58-BX55)</f>
        <v>61.57200000000001</v>
      </c>
      <c r="BY57" s="84">
        <f t="shared" ref="BY57" ca="1" si="2142">T57/(T56+T57)*(T58-BY55)</f>
        <v>72.496000000000024</v>
      </c>
      <c r="BZ57" s="84">
        <f t="shared" ref="BZ57" ca="1" si="2143">U57/(U56+U57)*(U58-BZ55)</f>
        <v>84.7</v>
      </c>
      <c r="CA57" s="84">
        <f t="shared" ref="CA57" ca="1" si="2144">V57/(V56+V57)*(V58-CA55)</f>
        <v>100.10000000000001</v>
      </c>
      <c r="CB57" s="84">
        <f t="shared" ref="CB57" ca="1" si="2145">W57/(W56+W57)*(W58-CB55)</f>
        <v>117.18</v>
      </c>
      <c r="CC57" s="84">
        <f t="shared" ref="CC57" ca="1" si="2146">X57/(X56+X57)*(X58-CC55)</f>
        <v>136.17500000000001</v>
      </c>
      <c r="CD57" s="84">
        <f t="shared" ref="CD57" ca="1" si="2147">Y57/(Y56+Y57)*(Y58-CD55)</f>
        <v>157.29000000000002</v>
      </c>
      <c r="CE57" s="84">
        <f t="shared" ref="CE57" ca="1" si="2148">Z57/(Z56+Z57)*(Z58-CE55)</f>
        <v>180.60000000000008</v>
      </c>
      <c r="CF57" s="84">
        <f t="shared" ref="CF57" ca="1" si="2149">AA57/(AA56+AA57)*(AA58-CF55)</f>
        <v>206.33279228365981</v>
      </c>
      <c r="CG57" s="84">
        <f t="shared" ref="CG57" ca="1" si="2150">AB57/(AB56+AB57)*(AB58-CG55)</f>
        <v>234.68016424550623</v>
      </c>
      <c r="CH57" s="84">
        <f t="shared" ref="CH57" ca="1" si="2151">AC57/(AC56+AC57)*(AC58-CH55)</f>
        <v>265.84985286477377</v>
      </c>
      <c r="CI57" s="84">
        <f t="shared" ref="CI57" ca="1" si="2152">AD57/(AD56+AD57)*(AD58-CI55)</f>
        <v>300.06207573359035</v>
      </c>
      <c r="CJ57" s="84">
        <f t="shared" ref="CJ57" ca="1" si="2153">AE57/(AE56+AE57)*(AE58-CJ55)</f>
        <v>335.66758879355211</v>
      </c>
      <c r="CK57" s="84">
        <f t="shared" ref="CK57" ca="1" si="2154">AF57/(AF56+AF57)*(AF58-CK55)</f>
        <v>358.72363703245242</v>
      </c>
      <c r="CL57" s="84">
        <f t="shared" ref="CL57" ca="1" si="2155">AG57/(AG56+AG57)*(AG58-CL55)</f>
        <v>652.25176284215775</v>
      </c>
      <c r="CM57" s="84">
        <f t="shared" ref="CM57" ca="1" si="2156">AH57/(AH56+AH57)*(AH58-CM55)</f>
        <v>1267.4216288196922</v>
      </c>
      <c r="CN57" s="118" t="str">
        <f t="shared" ca="1" si="2019"/>
        <v xml:space="preserve">1.6 1.8 2 2.4 2.7 3.1 3.8 4.6 5.4 6.3 7.3 8.7 10.2 11.8 13.6 15.7 17.9 20.4 23.1 26 29.1 31.1 56.6 110 </v>
      </c>
      <c r="CO57" s="117">
        <f t="shared" ca="1" si="2126"/>
        <v>1.6</v>
      </c>
      <c r="CP57" s="117">
        <f t="shared" ca="1" si="2020"/>
        <v>1.8</v>
      </c>
      <c r="CQ57" s="117">
        <f t="shared" ca="1" si="2021"/>
        <v>2</v>
      </c>
      <c r="CR57" s="117">
        <f t="shared" ca="1" si="2022"/>
        <v>2.4</v>
      </c>
      <c r="CS57" s="117">
        <f t="shared" ca="1" si="2023"/>
        <v>2.7</v>
      </c>
      <c r="CT57" s="117">
        <f t="shared" ca="1" si="2024"/>
        <v>3.1</v>
      </c>
      <c r="CU57" s="117">
        <f t="shared" ca="1" si="2025"/>
        <v>3.8</v>
      </c>
      <c r="CV57" s="117">
        <f t="shared" ca="1" si="2026"/>
        <v>4.5999999999999996</v>
      </c>
      <c r="CW57" s="117">
        <f t="shared" ca="1" si="2027"/>
        <v>5.4</v>
      </c>
      <c r="CX57" s="117">
        <f t="shared" ca="1" si="2028"/>
        <v>6.3</v>
      </c>
      <c r="CY57" s="117">
        <f t="shared" ca="1" si="2029"/>
        <v>7.3</v>
      </c>
      <c r="CZ57" s="117">
        <f t="shared" ca="1" si="2030"/>
        <v>8.6999999999999993</v>
      </c>
      <c r="DA57" s="117">
        <f t="shared" ca="1" si="2031"/>
        <v>10.199999999999999</v>
      </c>
      <c r="DB57" s="117">
        <f t="shared" ca="1" si="2032"/>
        <v>11.8</v>
      </c>
      <c r="DC57" s="117">
        <f t="shared" ca="1" si="2033"/>
        <v>13.6</v>
      </c>
      <c r="DD57" s="117">
        <f t="shared" ca="1" si="2034"/>
        <v>15.7</v>
      </c>
      <c r="DE57" s="117">
        <f t="shared" ca="1" si="2127"/>
        <v>17.899999999999999</v>
      </c>
      <c r="DF57" s="117">
        <f t="shared" ca="1" si="2035"/>
        <v>20.399999999999999</v>
      </c>
      <c r="DG57" s="117">
        <f t="shared" ca="1" si="2036"/>
        <v>23.1</v>
      </c>
      <c r="DH57" s="117">
        <f t="shared" ca="1" si="2128"/>
        <v>26</v>
      </c>
      <c r="DI57" s="117">
        <f t="shared" ca="1" si="2037"/>
        <v>29.1</v>
      </c>
      <c r="DJ57" s="117">
        <f t="shared" ca="1" si="2129"/>
        <v>31.1</v>
      </c>
      <c r="DK57" s="117">
        <f t="shared" ca="1" si="2130"/>
        <v>56.6</v>
      </c>
      <c r="DL57" s="117">
        <f t="shared" ca="1" si="2038"/>
        <v>110</v>
      </c>
      <c r="DM57" s="118" t="str">
        <f t="shared" si="2039"/>
        <v xml:space="preserve">0.85 0.845 0.84 0.835 0.83 0.825 0.82 0.815 0.81 0.805 0.8 0.8 0.8 0.8 0.8 0.8 0.8 0.8 0.8 0.8 0.8 0.8 0.8 0.8 </v>
      </c>
      <c r="DN57" s="72">
        <f t="shared" si="2131"/>
        <v>0.85</v>
      </c>
      <c r="DO57" s="72">
        <f t="shared" si="2040"/>
        <v>0.84499999999999997</v>
      </c>
      <c r="DP57" s="72">
        <f t="shared" si="2041"/>
        <v>0.84</v>
      </c>
      <c r="DQ57" s="72">
        <f t="shared" si="2042"/>
        <v>0.83499999999999996</v>
      </c>
      <c r="DR57" s="72">
        <f t="shared" si="2043"/>
        <v>0.83</v>
      </c>
      <c r="DS57" s="72">
        <f t="shared" si="2044"/>
        <v>0.82499999999999996</v>
      </c>
      <c r="DT57" s="72">
        <f t="shared" si="2045"/>
        <v>0.82</v>
      </c>
      <c r="DU57" s="72">
        <f t="shared" si="2046"/>
        <v>0.81499999999999995</v>
      </c>
      <c r="DV57" s="72">
        <f t="shared" si="2047"/>
        <v>0.80999999999999994</v>
      </c>
      <c r="DW57" s="72">
        <f t="shared" si="2048"/>
        <v>0.80499999999999994</v>
      </c>
      <c r="DX57" s="72">
        <f t="shared" si="2049"/>
        <v>0.8</v>
      </c>
      <c r="DY57" s="72">
        <f t="shared" si="2050"/>
        <v>0.8</v>
      </c>
      <c r="DZ57" s="72">
        <f t="shared" si="2051"/>
        <v>0.8</v>
      </c>
      <c r="EA57" s="72">
        <f t="shared" si="2052"/>
        <v>0.8</v>
      </c>
      <c r="EB57" s="72">
        <f t="shared" si="2053"/>
        <v>0.8</v>
      </c>
      <c r="EC57" s="72">
        <f t="shared" si="2054"/>
        <v>0.8</v>
      </c>
      <c r="ED57" s="72">
        <f t="shared" si="2055"/>
        <v>0.8</v>
      </c>
      <c r="EE57" s="72">
        <f t="shared" si="2056"/>
        <v>0.8</v>
      </c>
      <c r="EF57" s="72">
        <f t="shared" si="2057"/>
        <v>0.8</v>
      </c>
      <c r="EG57" s="72">
        <f t="shared" si="2058"/>
        <v>0.8</v>
      </c>
      <c r="EH57" s="72">
        <f t="shared" si="2059"/>
        <v>0.8</v>
      </c>
      <c r="EI57" s="72">
        <f t="shared" si="2060"/>
        <v>0.8</v>
      </c>
      <c r="EJ57" s="72">
        <f t="shared" si="2061"/>
        <v>0.8</v>
      </c>
      <c r="EK57" s="72">
        <f t="shared" si="2062"/>
        <v>0.8</v>
      </c>
    </row>
    <row r="58" spans="1:141" x14ac:dyDescent="0.25">
      <c r="A58" t="str">
        <f t="shared" si="20"/>
        <v>BUR</v>
      </c>
      <c r="C58" t="str">
        <f>IFERROR(VLOOKUP(D58,'For model'!$B$4:$C$16,2,FALSE),C57)</f>
        <v>BUR</v>
      </c>
      <c r="D58" t="s">
        <v>537</v>
      </c>
      <c r="K58" s="84">
        <f ca="1">OFFSET(SourceData!$BS$4,MATCH(K54,SourceData!$BS$5:$BS$28,0),MATCH($C58,SourceData!$BT$3:$CF$3,0))</f>
        <v>858.5</v>
      </c>
      <c r="L58" s="84">
        <f ca="1">OFFSET(SourceData!$BS$4,MATCH(L54,SourceData!$BS$5:$BS$28,0),MATCH($C58,SourceData!$BT$3:$CF$3,0))</f>
        <v>873</v>
      </c>
      <c r="M58" s="84">
        <f ca="1">OFFSET(SourceData!$BS$4,MATCH(M54,SourceData!$BS$5:$BS$28,0),MATCH($C58,SourceData!$BT$3:$CF$3,0))</f>
        <v>934</v>
      </c>
      <c r="N58" s="84">
        <f ca="1">OFFSET(SourceData!$BS$4,MATCH(N54,SourceData!$BS$5:$BS$28,0),MATCH($C58,SourceData!$BT$3:$CF$3,0))</f>
        <v>1006</v>
      </c>
      <c r="O58" s="84">
        <f ca="1">OFFSET(SourceData!$BS$4,MATCH(O54,SourceData!$BS$5:$BS$28,0),MATCH($C58,SourceData!$BT$3:$CF$3,0))</f>
        <v>1087</v>
      </c>
      <c r="P58" s="84">
        <f ca="1">OFFSET(SourceData!$BS$4,MATCH(P54,SourceData!$BS$5:$BS$28,0),MATCH($C58,SourceData!$BT$3:$CF$3,0))</f>
        <v>1173</v>
      </c>
      <c r="Q58" s="84">
        <f ca="1">OFFSET(SourceData!$BS$4,MATCH(Q54,SourceData!$BS$5:$BS$28,0),MATCH($C58,SourceData!$BT$3:$CF$3,0))</f>
        <v>1265</v>
      </c>
      <c r="R58" s="84">
        <f ca="1">OFFSET(SourceData!$BS$4,MATCH(R54,SourceData!$BS$5:$BS$28,0),MATCH($C58,SourceData!$BT$3:$CF$3,0))</f>
        <v>1362</v>
      </c>
      <c r="S58" s="84">
        <f ca="1">OFFSET(SourceData!$BS$4,MATCH(S54,SourceData!$BS$5:$BS$28,0),MATCH($C58,SourceData!$BT$3:$CF$3,0))</f>
        <v>1466</v>
      </c>
      <c r="T58" s="84">
        <f ca="1">OFFSET(SourceData!$BS$4,MATCH(T54,SourceData!$BS$5:$BS$28,0),MATCH($C58,SourceData!$BT$3:$CF$3,0))</f>
        <v>1576</v>
      </c>
      <c r="U58" s="84">
        <f ca="1">OFFSET(SourceData!$BS$4,MATCH(U54,SourceData!$BS$5:$BS$28,0),MATCH($C58,SourceData!$BT$3:$CF$3,0))</f>
        <v>1694</v>
      </c>
      <c r="V58" s="84">
        <f ca="1">OFFSET(SourceData!$BS$4,MATCH(V54,SourceData!$BS$5:$BS$28,0),MATCH($C58,SourceData!$BT$3:$CF$3,0))</f>
        <v>1820</v>
      </c>
      <c r="W58" s="84">
        <f ca="1">OFFSET(SourceData!$BS$4,MATCH(W54,SourceData!$BS$5:$BS$28,0),MATCH($C58,SourceData!$BT$3:$CF$3,0))</f>
        <v>1953</v>
      </c>
      <c r="X58" s="84">
        <f ca="1">OFFSET(SourceData!$BS$4,MATCH(X54,SourceData!$BS$5:$BS$28,0),MATCH($C58,SourceData!$BT$3:$CF$3,0))</f>
        <v>2095</v>
      </c>
      <c r="Y58" s="84">
        <f ca="1">OFFSET(SourceData!$BS$4,MATCH(Y54,SourceData!$BS$5:$BS$28,0),MATCH($C58,SourceData!$BT$3:$CF$3,0))</f>
        <v>2247</v>
      </c>
      <c r="Z58" s="84">
        <f ca="1">OFFSET(SourceData!$BS$4,MATCH(Z54,SourceData!$BS$5:$BS$28,0),MATCH($C58,SourceData!$BT$3:$CF$3,0))</f>
        <v>2408</v>
      </c>
      <c r="AA58" s="84">
        <f ca="1">OFFSET(SourceData!$BS$4,MATCH(AA54,SourceData!$BS$5:$BS$28,0),MATCH($C58,SourceData!$BT$3:$CF$3,0))</f>
        <v>2579.1599035457475</v>
      </c>
      <c r="AB58" s="84">
        <f ca="1">OFFSET(SourceData!$BS$4,MATCH(AB54,SourceData!$BS$5:$BS$28,0),MATCH($C58,SourceData!$BT$3:$CF$3,0))</f>
        <v>2760.9431087706603</v>
      </c>
      <c r="AC58" s="84">
        <f ca="1">OFFSET(SourceData!$BS$4,MATCH(AC54,SourceData!$BS$5:$BS$28,0),MATCH($C58,SourceData!$BT$3:$CF$3,0))</f>
        <v>2953.8872540530406</v>
      </c>
      <c r="AD58" s="84">
        <f ca="1">OFFSET(SourceData!$BS$4,MATCH(AD54,SourceData!$BS$5:$BS$28,0),MATCH($C58,SourceData!$BT$3:$CF$3,0))</f>
        <v>3158.5481656167385</v>
      </c>
      <c r="AE58" s="84">
        <f ca="1">OFFSET(SourceData!$BS$4,MATCH(AE54,SourceData!$BS$5:$BS$28,0),MATCH($C58,SourceData!$BT$3:$CF$3,0))</f>
        <v>3356.6758879355202</v>
      </c>
      <c r="AF58" s="84">
        <f ca="1">OFFSET(SourceData!$BS$4,MATCH(AF54,SourceData!$BS$5:$BS$28,0),MATCH($C58,SourceData!$BT$3:$CF$3,0))</f>
        <v>3587.2363703245237</v>
      </c>
      <c r="AG58" s="84">
        <f ca="1">OFFSET(SourceData!$BS$4,MATCH(AG54,SourceData!$BS$5:$BS$28,0),MATCH($C58,SourceData!$BT$3:$CF$3,0))</f>
        <v>6522.5176284215768</v>
      </c>
      <c r="AH58" s="84">
        <f ca="1">OFFSET(SourceData!$BS$4,MATCH(AH54,SourceData!$BS$5:$BS$28,0),MATCH($C58,SourceData!$BT$3:$CF$3,0))</f>
        <v>12674.21628819692</v>
      </c>
      <c r="BP58" s="84">
        <f ca="1">SUM(BP55:BP57)</f>
        <v>858.49999999999989</v>
      </c>
      <c r="BQ58" s="84">
        <f t="shared" ref="BQ58" ca="1" si="2157">SUM(BQ55:BQ57)</f>
        <v>873</v>
      </c>
      <c r="BR58" s="84">
        <f t="shared" ref="BR58" ca="1" si="2158">SUM(BR55:BR57)</f>
        <v>934</v>
      </c>
      <c r="BS58" s="84">
        <f t="shared" ref="BS58" ca="1" si="2159">SUM(BS55:BS57)</f>
        <v>1006</v>
      </c>
      <c r="BT58" s="84">
        <f t="shared" ref="BT58" ca="1" si="2160">SUM(BT55:BT57)</f>
        <v>1087</v>
      </c>
      <c r="BU58" s="84">
        <f t="shared" ref="BU58" ca="1" si="2161">SUM(BU55:BU57)</f>
        <v>1173</v>
      </c>
      <c r="BV58" s="84">
        <f t="shared" ref="BV58" ca="1" si="2162">SUM(BV55:BV57)</f>
        <v>1265</v>
      </c>
      <c r="BW58" s="84">
        <f t="shared" ref="BW58" ca="1" si="2163">SUM(BW55:BW57)</f>
        <v>1362</v>
      </c>
      <c r="BX58" s="84">
        <f t="shared" ref="BX58" ca="1" si="2164">SUM(BX55:BX57)</f>
        <v>1466</v>
      </c>
      <c r="BY58" s="84">
        <f t="shared" ref="BY58" ca="1" si="2165">SUM(BY55:BY57)</f>
        <v>1576</v>
      </c>
      <c r="BZ58" s="84">
        <f t="shared" ref="BZ58" ca="1" si="2166">SUM(BZ55:BZ57)</f>
        <v>1694</v>
      </c>
      <c r="CA58" s="84">
        <f t="shared" ref="CA58" ca="1" si="2167">SUM(CA55:CA57)</f>
        <v>1820</v>
      </c>
      <c r="CB58" s="84">
        <f t="shared" ref="CB58" ca="1" si="2168">SUM(CB55:CB57)</f>
        <v>1953</v>
      </c>
      <c r="CC58" s="84">
        <f t="shared" ref="CC58" ca="1" si="2169">SUM(CC55:CC57)</f>
        <v>2095</v>
      </c>
      <c r="CD58" s="84">
        <f t="shared" ref="CD58" ca="1" si="2170">SUM(CD55:CD57)</f>
        <v>2247</v>
      </c>
      <c r="CE58" s="84">
        <f t="shared" ref="CE58" ca="1" si="2171">SUM(CE55:CE57)</f>
        <v>2408</v>
      </c>
      <c r="CF58" s="84">
        <f t="shared" ref="CF58" ca="1" si="2172">SUM(CF55:CF57)</f>
        <v>2579.1599035457471</v>
      </c>
      <c r="CG58" s="84">
        <f t="shared" ref="CG58" ca="1" si="2173">SUM(CG55:CG57)</f>
        <v>2760.9431087706603</v>
      </c>
      <c r="CH58" s="84">
        <f t="shared" ref="CH58" ca="1" si="2174">SUM(CH55:CH57)</f>
        <v>2953.8872540530406</v>
      </c>
      <c r="CI58" s="84">
        <f t="shared" ref="CI58" ca="1" si="2175">SUM(CI55:CI57)</f>
        <v>3158.548165616739</v>
      </c>
      <c r="CJ58" s="84">
        <f t="shared" ref="CJ58" ca="1" si="2176">SUM(CJ55:CJ57)</f>
        <v>3356.6758879355207</v>
      </c>
      <c r="CK58" s="84">
        <f t="shared" ref="CK58" ca="1" si="2177">SUM(CK55:CK57)</f>
        <v>3587.2363703245237</v>
      </c>
      <c r="CL58" s="84">
        <f t="shared" ref="CL58" ca="1" si="2178">SUM(CL55:CL57)</f>
        <v>6522.5176284215768</v>
      </c>
      <c r="CM58" s="84">
        <f t="shared" ref="CM58" ca="1" si="2179">SUM(CM55:CM57)</f>
        <v>12674.21628819692</v>
      </c>
    </row>
    <row r="59" spans="1:141" x14ac:dyDescent="0.25">
      <c r="A59" t="str">
        <f t="shared" si="20"/>
        <v>NIG</v>
      </c>
      <c r="C59" t="str">
        <f>IFERROR(VLOOKUP(D59,'For model'!$B$4:$C$16,2,FALSE),C58)</f>
        <v>NIG</v>
      </c>
      <c r="D59" s="92" t="s">
        <v>79</v>
      </c>
      <c r="E59">
        <v>2010</v>
      </c>
      <c r="F59">
        <v>2015</v>
      </c>
      <c r="G59">
        <v>2020</v>
      </c>
      <c r="H59">
        <v>2030</v>
      </c>
      <c r="I59">
        <f>I54</f>
        <v>2050</v>
      </c>
      <c r="K59">
        <v>2010</v>
      </c>
      <c r="L59">
        <f>K59+1</f>
        <v>2011</v>
      </c>
      <c r="M59">
        <f t="shared" ref="M59:U59" si="2180">L59+1</f>
        <v>2012</v>
      </c>
      <c r="N59">
        <f t="shared" si="2180"/>
        <v>2013</v>
      </c>
      <c r="O59">
        <f t="shared" si="2180"/>
        <v>2014</v>
      </c>
      <c r="P59">
        <f t="shared" si="2180"/>
        <v>2015</v>
      </c>
      <c r="Q59">
        <f t="shared" si="2180"/>
        <v>2016</v>
      </c>
      <c r="R59">
        <f t="shared" si="2180"/>
        <v>2017</v>
      </c>
      <c r="S59">
        <f t="shared" si="2180"/>
        <v>2018</v>
      </c>
      <c r="T59">
        <f t="shared" si="2180"/>
        <v>2019</v>
      </c>
      <c r="U59">
        <f t="shared" si="2180"/>
        <v>2020</v>
      </c>
      <c r="V59">
        <f t="shared" ref="V59:AF59" si="2181">U59+1</f>
        <v>2021</v>
      </c>
      <c r="W59">
        <f t="shared" si="2181"/>
        <v>2022</v>
      </c>
      <c r="X59">
        <f t="shared" si="2181"/>
        <v>2023</v>
      </c>
      <c r="Y59">
        <f t="shared" si="2181"/>
        <v>2024</v>
      </c>
      <c r="Z59">
        <f t="shared" si="2181"/>
        <v>2025</v>
      </c>
      <c r="AA59">
        <f t="shared" si="2181"/>
        <v>2026</v>
      </c>
      <c r="AB59">
        <f t="shared" si="2181"/>
        <v>2027</v>
      </c>
      <c r="AC59">
        <f t="shared" si="2181"/>
        <v>2028</v>
      </c>
      <c r="AD59">
        <f t="shared" si="2181"/>
        <v>2029</v>
      </c>
      <c r="AE59">
        <f t="shared" si="2181"/>
        <v>2030</v>
      </c>
      <c r="AF59">
        <f t="shared" si="2181"/>
        <v>2031</v>
      </c>
      <c r="AG59">
        <v>2040</v>
      </c>
      <c r="AH59">
        <v>2050</v>
      </c>
      <c r="AL59">
        <f>E59</f>
        <v>2010</v>
      </c>
      <c r="AM59">
        <f>G59</f>
        <v>2020</v>
      </c>
      <c r="AN59">
        <f>H59</f>
        <v>2030</v>
      </c>
      <c r="AO59">
        <f>I59</f>
        <v>2050</v>
      </c>
      <c r="AQ59">
        <v>2010</v>
      </c>
      <c r="AR59">
        <f>AQ59+1</f>
        <v>2011</v>
      </c>
      <c r="AS59">
        <f t="shared" ref="AS59:BL59" si="2182">AR59+1</f>
        <v>2012</v>
      </c>
      <c r="AT59">
        <f t="shared" si="2182"/>
        <v>2013</v>
      </c>
      <c r="AU59">
        <f t="shared" si="2182"/>
        <v>2014</v>
      </c>
      <c r="AV59">
        <f t="shared" si="2182"/>
        <v>2015</v>
      </c>
      <c r="AW59">
        <f t="shared" si="2182"/>
        <v>2016</v>
      </c>
      <c r="AX59">
        <f t="shared" si="2182"/>
        <v>2017</v>
      </c>
      <c r="AY59">
        <f t="shared" si="2182"/>
        <v>2018</v>
      </c>
      <c r="AZ59">
        <f t="shared" si="2182"/>
        <v>2019</v>
      </c>
      <c r="BA59">
        <f t="shared" si="2182"/>
        <v>2020</v>
      </c>
      <c r="BB59">
        <f t="shared" si="2182"/>
        <v>2021</v>
      </c>
      <c r="BC59">
        <f t="shared" si="2182"/>
        <v>2022</v>
      </c>
      <c r="BD59">
        <f t="shared" si="2182"/>
        <v>2023</v>
      </c>
      <c r="BE59">
        <f t="shared" si="2182"/>
        <v>2024</v>
      </c>
      <c r="BF59">
        <f t="shared" si="2182"/>
        <v>2025</v>
      </c>
      <c r="BG59">
        <f t="shared" si="2182"/>
        <v>2026</v>
      </c>
      <c r="BH59">
        <f t="shared" si="2182"/>
        <v>2027</v>
      </c>
      <c r="BI59">
        <f t="shared" si="2182"/>
        <v>2028</v>
      </c>
      <c r="BJ59">
        <f t="shared" si="2182"/>
        <v>2029</v>
      </c>
      <c r="BK59">
        <f t="shared" si="2182"/>
        <v>2030</v>
      </c>
      <c r="BL59">
        <f t="shared" si="2182"/>
        <v>2031</v>
      </c>
      <c r="BM59">
        <v>2040</v>
      </c>
      <c r="BN59">
        <v>2050</v>
      </c>
      <c r="BP59">
        <f>AQ59</f>
        <v>2010</v>
      </c>
      <c r="BQ59">
        <f t="shared" ref="BQ59" si="2183">AR59</f>
        <v>2011</v>
      </c>
      <c r="BR59">
        <f t="shared" ref="BR59" si="2184">AS59</f>
        <v>2012</v>
      </c>
      <c r="BS59">
        <f t="shared" ref="BS59" si="2185">AT59</f>
        <v>2013</v>
      </c>
      <c r="BT59">
        <f t="shared" ref="BT59" si="2186">AU59</f>
        <v>2014</v>
      </c>
      <c r="BU59">
        <f t="shared" ref="BU59" si="2187">AV59</f>
        <v>2015</v>
      </c>
      <c r="BV59">
        <f t="shared" ref="BV59" si="2188">AW59</f>
        <v>2016</v>
      </c>
      <c r="BW59">
        <f t="shared" ref="BW59" si="2189">AX59</f>
        <v>2017</v>
      </c>
      <c r="BX59">
        <f t="shared" ref="BX59" si="2190">AY59</f>
        <v>2018</v>
      </c>
      <c r="BY59">
        <f t="shared" ref="BY59" si="2191">AZ59</f>
        <v>2019</v>
      </c>
      <c r="BZ59">
        <f t="shared" ref="BZ59" si="2192">BA59</f>
        <v>2020</v>
      </c>
      <c r="CA59">
        <f t="shared" ref="CA59" si="2193">BB59</f>
        <v>2021</v>
      </c>
      <c r="CB59">
        <f t="shared" ref="CB59" si="2194">BC59</f>
        <v>2022</v>
      </c>
      <c r="CC59">
        <f t="shared" ref="CC59" si="2195">BD59</f>
        <v>2023</v>
      </c>
      <c r="CD59">
        <f t="shared" ref="CD59" si="2196">BE59</f>
        <v>2024</v>
      </c>
      <c r="CE59">
        <f t="shared" ref="CE59" si="2197">BF59</f>
        <v>2025</v>
      </c>
      <c r="CF59">
        <f t="shared" ref="CF59" si="2198">BG59</f>
        <v>2026</v>
      </c>
      <c r="CG59">
        <f t="shared" ref="CG59" si="2199">BH59</f>
        <v>2027</v>
      </c>
      <c r="CH59">
        <f t="shared" ref="CH59" si="2200">BI59</f>
        <v>2028</v>
      </c>
      <c r="CI59">
        <f t="shared" ref="CI59" si="2201">BJ59</f>
        <v>2029</v>
      </c>
      <c r="CJ59">
        <f t="shared" ref="CJ59" si="2202">BK59</f>
        <v>2030</v>
      </c>
      <c r="CK59">
        <f t="shared" ref="CK59" si="2203">BL59</f>
        <v>2031</v>
      </c>
      <c r="CL59">
        <f t="shared" ref="CL59" si="2204">BM59</f>
        <v>2040</v>
      </c>
      <c r="CM59">
        <f t="shared" ref="CM59" si="2205">BN59</f>
        <v>2050</v>
      </c>
      <c r="CO59">
        <f>BP59</f>
        <v>2010</v>
      </c>
      <c r="CP59">
        <f t="shared" ref="CP59" si="2206">BQ59</f>
        <v>2011</v>
      </c>
      <c r="CQ59">
        <f t="shared" ref="CQ59" si="2207">BR59</f>
        <v>2012</v>
      </c>
      <c r="CR59">
        <f t="shared" ref="CR59" si="2208">BS59</f>
        <v>2013</v>
      </c>
      <c r="CS59">
        <f t="shared" ref="CS59" si="2209">BT59</f>
        <v>2014</v>
      </c>
      <c r="CT59">
        <f t="shared" ref="CT59" si="2210">BU59</f>
        <v>2015</v>
      </c>
      <c r="CU59">
        <f t="shared" ref="CU59" si="2211">BV59</f>
        <v>2016</v>
      </c>
      <c r="CV59">
        <f t="shared" ref="CV59" si="2212">BW59</f>
        <v>2017</v>
      </c>
      <c r="CW59">
        <f t="shared" ref="CW59" si="2213">BX59</f>
        <v>2018</v>
      </c>
      <c r="CX59">
        <f t="shared" ref="CX59" si="2214">BY59</f>
        <v>2019</v>
      </c>
      <c r="CY59">
        <f t="shared" ref="CY59" si="2215">BZ59</f>
        <v>2020</v>
      </c>
      <c r="CZ59">
        <f t="shared" ref="CZ59" si="2216">CA59</f>
        <v>2021</v>
      </c>
      <c r="DA59">
        <f t="shared" ref="DA59" si="2217">CB59</f>
        <v>2022</v>
      </c>
      <c r="DB59">
        <f t="shared" ref="DB59" si="2218">CC59</f>
        <v>2023</v>
      </c>
      <c r="DC59">
        <f t="shared" ref="DC59" si="2219">CD59</f>
        <v>2024</v>
      </c>
      <c r="DD59">
        <f t="shared" ref="DD59" si="2220">CE59</f>
        <v>2025</v>
      </c>
      <c r="DE59">
        <f>CF59</f>
        <v>2026</v>
      </c>
      <c r="DF59">
        <f t="shared" ref="DF59" si="2221">CG59</f>
        <v>2027</v>
      </c>
      <c r="DG59">
        <f t="shared" ref="DG59" si="2222">CH59</f>
        <v>2028</v>
      </c>
      <c r="DH59">
        <f>CI59</f>
        <v>2029</v>
      </c>
      <c r="DI59">
        <f t="shared" ref="DI59" si="2223">CJ59</f>
        <v>2030</v>
      </c>
      <c r="DJ59">
        <f>CK59</f>
        <v>2031</v>
      </c>
      <c r="DK59">
        <f>CL59</f>
        <v>2040</v>
      </c>
      <c r="DL59">
        <f t="shared" ref="DL59" si="2224">CM59</f>
        <v>2050</v>
      </c>
    </row>
    <row r="60" spans="1:141" x14ac:dyDescent="0.25">
      <c r="A60" t="str">
        <f t="shared" si="20"/>
        <v>Heavy IndustryNIG</v>
      </c>
      <c r="B60" t="str">
        <f t="shared" ref="B60:B62" si="2225">B55</f>
        <v>Heavy Industry</v>
      </c>
      <c r="C60" t="str">
        <f>IFERROR(VLOOKUP(D60,'For model'!$B$4:$C$16,2,FALSE),C59)</f>
        <v>NIG</v>
      </c>
      <c r="D60" t="s">
        <v>535</v>
      </c>
      <c r="E60" s="72">
        <v>0.1</v>
      </c>
      <c r="F60" s="72">
        <v>0.25</v>
      </c>
      <c r="G60" s="72">
        <v>0.35</v>
      </c>
      <c r="H60" s="72">
        <v>0.4</v>
      </c>
      <c r="I60" s="72">
        <v>0.4</v>
      </c>
      <c r="K60" s="72">
        <f>E60</f>
        <v>0.1</v>
      </c>
      <c r="L60" s="72">
        <f>($P60-$K60)/($P$4-$K$4)+K60</f>
        <v>0.13</v>
      </c>
      <c r="M60" s="72">
        <f t="shared" ref="M60:O60" si="2226">($P60-$K60)/($P$4-$K$4)+L60</f>
        <v>0.16</v>
      </c>
      <c r="N60" s="72">
        <f t="shared" si="2226"/>
        <v>0.19</v>
      </c>
      <c r="O60" s="72">
        <f t="shared" si="2226"/>
        <v>0.22</v>
      </c>
      <c r="P60" s="72">
        <f>F60</f>
        <v>0.25</v>
      </c>
      <c r="Q60" s="72">
        <f>($U60-$P60)/($U$4-$P$4)+P60</f>
        <v>0.27</v>
      </c>
      <c r="R60" s="72">
        <f t="shared" ref="R60:T60" si="2227">($U60-$P60)/($U$4-$P$4)+Q60</f>
        <v>0.29000000000000004</v>
      </c>
      <c r="S60" s="72">
        <f t="shared" si="2227"/>
        <v>0.31000000000000005</v>
      </c>
      <c r="T60" s="72">
        <f t="shared" si="2227"/>
        <v>0.33000000000000007</v>
      </c>
      <c r="U60" s="72">
        <f>G60</f>
        <v>0.35</v>
      </c>
      <c r="V60" s="72">
        <f>(AE60-U60)/(AE$4-U$4)+U60</f>
        <v>0.35499999999999998</v>
      </c>
      <c r="W60" s="72">
        <f>(AE60-U60)/(AE$4-U$4)+V60</f>
        <v>0.36</v>
      </c>
      <c r="X60" s="72">
        <f>(AE60-U60)/(AE$4-U$4)+W60</f>
        <v>0.36499999999999999</v>
      </c>
      <c r="Y60" s="72">
        <f>(AE60-U60)/(AE$4-U$4)+X60</f>
        <v>0.37</v>
      </c>
      <c r="Z60" s="72">
        <f>(AE60-U60)/(AE$4-U$4)+Y60</f>
        <v>0.375</v>
      </c>
      <c r="AA60" s="72">
        <f>(AE60-U60)/(AE$4-U$4)+Z60</f>
        <v>0.38</v>
      </c>
      <c r="AB60" s="72">
        <f>(AE60-U60)/(AE$4-U$4)+AA60</f>
        <v>0.38500000000000001</v>
      </c>
      <c r="AC60" s="72">
        <f>(AE60-U60)/(AE$4-U$4)+AB60</f>
        <v>0.39</v>
      </c>
      <c r="AD60" s="72">
        <f>(AE60-U60)/(AE$4-U$4)+AC60</f>
        <v>0.39500000000000002</v>
      </c>
      <c r="AE60" s="72">
        <f>H60</f>
        <v>0.4</v>
      </c>
      <c r="AF60" s="72">
        <f>(AH60-AE60)/(AH$4-AE$4)+AE60</f>
        <v>0.4</v>
      </c>
      <c r="AG60" s="72">
        <f>(AE60+AH60)/2</f>
        <v>0.4</v>
      </c>
      <c r="AH60" s="72">
        <f>I60</f>
        <v>0.4</v>
      </c>
      <c r="AJ60" s="115">
        <f ca="1">SUMIF(SourceData!$Y$3:$AK$3,$C59,SourceData!$Y$1:$AK$1)</f>
        <v>0.158</v>
      </c>
      <c r="AK60" s="72">
        <v>0.05</v>
      </c>
      <c r="AL60" s="94">
        <v>0.02</v>
      </c>
      <c r="AM60" s="72">
        <f>AL60</f>
        <v>0.02</v>
      </c>
      <c r="AN60" s="72">
        <v>0</v>
      </c>
      <c r="AO60" s="72">
        <v>0</v>
      </c>
      <c r="AP60" s="118" t="str">
        <f>AQ60&amp;" "&amp;AR60&amp;" "&amp;AS60&amp;" "&amp;AT60&amp;" "&amp;AU60&amp;" "&amp;AV60&amp;" "&amp;AW60&amp;" "&amp;AX60&amp;" "&amp;AY60&amp;" "&amp;AZ60&amp;" "&amp;BA60&amp;" "&amp;BB60&amp;" "&amp;BC60&amp;" "&amp;BD60&amp;" "&amp;BE60&amp;" "&amp;BF60&amp;" "&amp;BG60&amp;" "&amp;BH60&amp;" "&amp;BI60&amp;" "&amp;BJ60&amp;" "&amp;BK60&amp;" "&amp;BL60&amp;" "&amp;BM60&amp;" "&amp;BN60&amp;" "</f>
        <v xml:space="preserve">0.02 0.02 0.02 0.02 0.02 0.02 0.02 0.02 0.02 0.02 0.02 0.018 0.016 0.014 0.012 0.01 0.008 0.006 0.004 0.002 0 0 0 0 </v>
      </c>
      <c r="AQ60" s="72">
        <f>AL60</f>
        <v>0.02</v>
      </c>
      <c r="AR60" s="72">
        <f>(BA60-AQ60)/(BA$4-AQ$4)+AQ60</f>
        <v>0.02</v>
      </c>
      <c r="AS60" s="72">
        <f>(BA60-AQ60)/(BA$4-AQ$4)+AR60</f>
        <v>0.02</v>
      </c>
      <c r="AT60" s="72">
        <f>(BA60-AQ60)/(BA$4-AQ$4)+AS60</f>
        <v>0.02</v>
      </c>
      <c r="AU60" s="72">
        <f>(BA60-AQ60)/(BA$4-AQ$4)+AT60</f>
        <v>0.02</v>
      </c>
      <c r="AV60" s="72">
        <f>(BA60-AQ60)/(BA$4-AQ$4)+AU60</f>
        <v>0.02</v>
      </c>
      <c r="AW60" s="72">
        <f>(BA60-AQ60)/(BA$4-AQ$4)+AV60</f>
        <v>0.02</v>
      </c>
      <c r="AX60" s="72">
        <f>(BA60-AQ60)/(BA$4-AQ$4)+AW60</f>
        <v>0.02</v>
      </c>
      <c r="AY60" s="72">
        <f>(BA60-AQ60)/(BA$4-AQ$4)+AX60</f>
        <v>0.02</v>
      </c>
      <c r="AZ60" s="72">
        <f>(BA60-AQ60)/(BA$4-AQ$4)+AY60</f>
        <v>0.02</v>
      </c>
      <c r="BA60" s="72">
        <f>AM60</f>
        <v>0.02</v>
      </c>
      <c r="BB60" s="72">
        <f>(BK60-BA60)/(BK$4-BA$4)+BA60</f>
        <v>1.8000000000000002E-2</v>
      </c>
      <c r="BC60" s="72">
        <f>(BK60-BA60)/(BK$4-BA$4)+BB60</f>
        <v>1.6E-2</v>
      </c>
      <c r="BD60" s="72">
        <f>(BK60-BA60)/(BK$4-BA$4)+BC60</f>
        <v>1.4E-2</v>
      </c>
      <c r="BE60" s="72">
        <f>(BK60-BA60)/(BK$4-BA$4)+BD60</f>
        <v>1.2E-2</v>
      </c>
      <c r="BF60" s="72">
        <f>(BK60-BA60)/(BK$4-BA$4)+BE60</f>
        <v>0.01</v>
      </c>
      <c r="BG60" s="72">
        <f>(BK60-BA60)/(BK$4-BA$4)+BF60</f>
        <v>8.0000000000000002E-3</v>
      </c>
      <c r="BH60" s="72">
        <f>(BK60-BA60)/(BK$4-BA$4)+BG60</f>
        <v>6.0000000000000001E-3</v>
      </c>
      <c r="BI60" s="72">
        <f>(BK60-BA60)/(BK$4-BA$4)+BH60</f>
        <v>4.0000000000000001E-3</v>
      </c>
      <c r="BJ60" s="72">
        <f>(BK60-BA60)/(BK$4-BA$4)+BI60</f>
        <v>2E-3</v>
      </c>
      <c r="BK60" s="72">
        <f>AN60</f>
        <v>0</v>
      </c>
      <c r="BL60" s="72">
        <f>(BN60-BK60)/(BN$4-BK$4)+BK60</f>
        <v>0</v>
      </c>
      <c r="BM60" s="72">
        <f>(BK60+BN60)/2</f>
        <v>0</v>
      </c>
      <c r="BN60" s="72">
        <f>AO60</f>
        <v>0</v>
      </c>
      <c r="BO60">
        <f>SUMIF(SourceData!$BD$3:$BP$3,$C59,SourceData!$BD$1:$BP$1)</f>
        <v>0</v>
      </c>
      <c r="BP60" s="84">
        <f ca="1">IF($BO60,OFFSET(SourceData!$BC$4,MATCH(BP59,SourceData!$BC$5:$BC$28,0),MATCH($C63,SourceData!$BD$3:$BP$3,0)),K60*K63)</f>
        <v>83.5</v>
      </c>
      <c r="BQ60" s="84">
        <f ca="1">IF($BO60,OFFSET(SourceData!$BC$4,MATCH(BQ59,SourceData!$BC$5:$BC$28,0),MATCH($C63,SourceData!$BD$3:$BP$3,0)),L60*L63)</f>
        <v>110.37</v>
      </c>
      <c r="BR60" s="84">
        <f ca="1">IF($BO60,OFFSET(SourceData!$BC$4,MATCH(BR59,SourceData!$BC$5:$BC$28,0),MATCH($C63,SourceData!$BD$3:$BP$3,0)),M60*M63)</f>
        <v>145.92000000000002</v>
      </c>
      <c r="BS60" s="84">
        <f ca="1">IF($BO60,OFFSET(SourceData!$BC$4,MATCH(BS59,SourceData!$BC$5:$BC$28,0),MATCH($C63,SourceData!$BD$3:$BP$3,0)),N60*N63)</f>
        <v>185.63</v>
      </c>
      <c r="BT60" s="84">
        <f ca="1">IF($BO60,OFFSET(SourceData!$BC$4,MATCH(BT59,SourceData!$BC$5:$BC$28,0),MATCH($C63,SourceData!$BD$3:$BP$3,0)),O60*O63)</f>
        <v>229.68</v>
      </c>
      <c r="BU60" s="84">
        <f ca="1">IF($BO60,OFFSET(SourceData!$BC$4,MATCH(BU59,SourceData!$BC$5:$BC$28,0),MATCH($C63,SourceData!$BD$3:$BP$3,0)),P60*P63)</f>
        <v>308.75</v>
      </c>
      <c r="BV60" s="84">
        <f ca="1">IF($BO60,OFFSET(SourceData!$BC$4,MATCH(BV59,SourceData!$BC$5:$BC$28,0),MATCH($C63,SourceData!$BD$3:$BP$3,0)),Q60*Q63)</f>
        <v>352.62</v>
      </c>
      <c r="BW60" s="84">
        <f ca="1">IF($BO60,OFFSET(SourceData!$BC$4,MATCH(BW59,SourceData!$BC$5:$BC$28,0),MATCH($C63,SourceData!$BD$3:$BP$3,0)),R60*R63)</f>
        <v>399.91</v>
      </c>
      <c r="BX60" s="84">
        <f ca="1">IF($BO60,OFFSET(SourceData!$BC$4,MATCH(BX59,SourceData!$BC$5:$BC$28,0),MATCH($C63,SourceData!$BD$3:$BP$3,0)),S60*S63)</f>
        <v>450.74000000000007</v>
      </c>
      <c r="BY60" s="84">
        <f ca="1">IF($BO60,OFFSET(SourceData!$BC$4,MATCH(BY59,SourceData!$BC$5:$BC$28,0),MATCH($C63,SourceData!$BD$3:$BP$3,0)),T60*T63)</f>
        <v>504.90000000000009</v>
      </c>
      <c r="BZ60" s="84">
        <f ca="1">IF($BO60,OFFSET(SourceData!$BC$4,MATCH(BZ59,SourceData!$BC$5:$BC$28,0),MATCH($C63,SourceData!$BD$3:$BP$3,0)),U60*U63)</f>
        <v>563.15</v>
      </c>
      <c r="CA60" s="84">
        <f ca="1">IF($BO60,OFFSET(SourceData!$BC$4,MATCH(CA59,SourceData!$BC$5:$BC$28,0),MATCH($C63,SourceData!$BD$3:$BP$3,0)),V60*V63)</f>
        <v>600.30499999999995</v>
      </c>
      <c r="CB60" s="84">
        <f ca="1">IF($BO60,OFFSET(SourceData!$BC$4,MATCH(CB59,SourceData!$BC$5:$BC$28,0),MATCH($C63,SourceData!$BD$3:$BP$3,0)),W60*W63)</f>
        <v>638.64</v>
      </c>
      <c r="CC60" s="84">
        <f ca="1">IF($BO60,OFFSET(SourceData!$BC$4,MATCH(CC59,SourceData!$BC$5:$BC$28,0),MATCH($C63,SourceData!$BD$3:$BP$3,0)),X60*X63)</f>
        <v>678.9</v>
      </c>
      <c r="CD60" s="84">
        <f ca="1">IF($BO60,OFFSET(SourceData!$BC$4,MATCH(CD59,SourceData!$BC$5:$BC$28,0),MATCH($C63,SourceData!$BD$3:$BP$3,0)),Y60*Y63)</f>
        <v>720.76</v>
      </c>
      <c r="CE60" s="84">
        <f ca="1">IF($BO60,OFFSET(SourceData!$BC$4,MATCH(CE59,SourceData!$BC$5:$BC$28,0),MATCH($C63,SourceData!$BD$3:$BP$3,0)),Z60*Z63)</f>
        <v>764.625</v>
      </c>
      <c r="CF60" s="84">
        <f ca="1">IF($BO60,OFFSET(SourceData!$BC$4,MATCH(CF59,SourceData!$BC$5:$BC$28,0),MATCH($C63,SourceData!$BD$3:$BP$3,0)),AA60*AA63)</f>
        <v>810.01969263874048</v>
      </c>
      <c r="CG60" s="84">
        <f ca="1">IF($BO60,OFFSET(SourceData!$BC$4,MATCH(CG59,SourceData!$BC$5:$BC$28,0),MATCH($C63,SourceData!$BD$3:$BP$3,0)),AB60*AB63)</f>
        <v>857.11807967768493</v>
      </c>
      <c r="CH60" s="84">
        <f ca="1">IF($BO60,OFFSET(SourceData!$BC$4,MATCH(CH59,SourceData!$BC$5:$BC$28,0),MATCH($C63,SourceData!$BD$3:$BP$3,0)),AC60*AC63)</f>
        <v>905.91041051261902</v>
      </c>
      <c r="CI60" s="84">
        <f ca="1">IF($BO60,OFFSET(SourceData!$BC$4,MATCH(CI59,SourceData!$BC$5:$BC$28,0),MATCH($C63,SourceData!$BD$3:$BP$3,0)),AD60*AD63)</f>
        <v>956.38070685780906</v>
      </c>
      <c r="CJ60" s="84">
        <f ca="1">IF($BO60,OFFSET(SourceData!$BC$4,MATCH(CJ59,SourceData!$BC$5:$BC$28,0),MATCH($C63,SourceData!$BD$3:$BP$3,0)),AE60*AE63)</f>
        <v>998.62445803210198</v>
      </c>
      <c r="CK60" s="84">
        <f ca="1">IF($BO60,OFFSET(SourceData!$BC$4,MATCH(CK59,SourceData!$BC$5:$BC$28,0),MATCH($C63,SourceData!$BD$3:$BP$3,0)),AF60*AF63)</f>
        <v>1039.8895040295379</v>
      </c>
      <c r="CL60" s="84">
        <f ca="1">IF($BO60,OFFSET(SourceData!$BC$4,MATCH(CL59,SourceData!$BC$5:$BC$28,0),MATCH($C63,SourceData!$BD$3:$BP$3,0)),AG60*AG63)</f>
        <v>1497.104656598153</v>
      </c>
      <c r="CM60" s="84">
        <f ca="1">IF($BO60,OFFSET(SourceData!$BC$4,MATCH(CM59,SourceData!$BC$5:$BC$28,0),MATCH($C63,SourceData!$BD$3:$BP$3,0)),AH60*AH63)</f>
        <v>2244.409632450464</v>
      </c>
      <c r="CN60" s="118" t="str">
        <f t="shared" ref="CN60:CN62" ca="1" si="2228">CO60&amp;" "&amp;CP60&amp;" "&amp;CQ60&amp;" "&amp;CR60&amp;" "&amp;CS60&amp;" "&amp;CT60&amp;" "&amp;CU60&amp;" "&amp;CV60&amp;" "&amp;CW60&amp;" "&amp;CX60&amp;" "&amp;CY60&amp;" "&amp;CZ60&amp;" "&amp;DA60&amp;" "&amp;DB60&amp;" "&amp;DC60&amp;" "&amp;DD60&amp;" "&amp;DE60&amp;" "&amp;DF60&amp;" "&amp;DG60&amp;" "&amp;DH60&amp;" "&amp;DI60&amp;" "&amp;DJ60&amp;" "&amp;DK60&amp;" "&amp;DL60&amp;" "</f>
        <v xml:space="preserve">8.9 11.7 15.5 19.7 24.4 32.8 37.5 42.5 47.9 53.7 59.9 63.9 68.2 72.6 77.2 82.1 87.1 92.4 97.9 103.5 108.3 112.8 162.4 243.4 </v>
      </c>
      <c r="CO60" s="117">
        <f ca="1">ROUND(BP60*(1-AQ60)*(1-$AK60)/8.76,1)</f>
        <v>8.9</v>
      </c>
      <c r="CP60" s="117">
        <f t="shared" ref="CP60:CP62" ca="1" si="2229">ROUND(BQ60*(1-AR60)*(1-$AK60)/8.76,1)</f>
        <v>11.7</v>
      </c>
      <c r="CQ60" s="117">
        <f t="shared" ref="CQ60:CQ62" ca="1" si="2230">ROUND(BR60*(1-AS60)*(1-$AK60)/8.76,1)</f>
        <v>15.5</v>
      </c>
      <c r="CR60" s="117">
        <f t="shared" ref="CR60:CR62" ca="1" si="2231">ROUND(BS60*(1-AT60)*(1-$AK60)/8.76,1)</f>
        <v>19.7</v>
      </c>
      <c r="CS60" s="117">
        <f t="shared" ref="CS60:CS62" ca="1" si="2232">ROUND(BT60*(1-AU60)*(1-$AK60)/8.76,1)</f>
        <v>24.4</v>
      </c>
      <c r="CT60" s="117">
        <f t="shared" ref="CT60:CT62" ca="1" si="2233">ROUND(BU60*(1-AV60)*(1-$AK60)/8.76,1)</f>
        <v>32.799999999999997</v>
      </c>
      <c r="CU60" s="117">
        <f t="shared" ref="CU60:CU62" ca="1" si="2234">ROUND(BV60*(1-AW60)*(1-$AK60)/8.76,1)</f>
        <v>37.5</v>
      </c>
      <c r="CV60" s="117">
        <f t="shared" ref="CV60:CV62" ca="1" si="2235">ROUND(BW60*(1-AX60)*(1-$AK60)/8.76,1)</f>
        <v>42.5</v>
      </c>
      <c r="CW60" s="117">
        <f t="shared" ref="CW60:CW62" ca="1" si="2236">ROUND(BX60*(1-AY60)*(1-$AK60)/8.76,1)</f>
        <v>47.9</v>
      </c>
      <c r="CX60" s="117">
        <f t="shared" ref="CX60:CX62" ca="1" si="2237">ROUND(BY60*(1-AZ60)*(1-$AK60)/8.76,1)</f>
        <v>53.7</v>
      </c>
      <c r="CY60" s="117">
        <f t="shared" ref="CY60:CY62" ca="1" si="2238">ROUND(BZ60*(1-BA60)*(1-$AK60)/8.76,1)</f>
        <v>59.9</v>
      </c>
      <c r="CZ60" s="117">
        <f t="shared" ref="CZ60:CZ62" ca="1" si="2239">ROUND(CA60*(1-BB60)*(1-$AK60)/8.76,1)</f>
        <v>63.9</v>
      </c>
      <c r="DA60" s="117">
        <f t="shared" ref="DA60:DA62" ca="1" si="2240">ROUND(CB60*(1-BC60)*(1-$AK60)/8.76,1)</f>
        <v>68.2</v>
      </c>
      <c r="DB60" s="117">
        <f t="shared" ref="DB60:DB62" ca="1" si="2241">ROUND(CC60*(1-BD60)*(1-$AK60)/8.76,1)</f>
        <v>72.599999999999994</v>
      </c>
      <c r="DC60" s="117">
        <f t="shared" ref="DC60:DC62" ca="1" si="2242">ROUND(CD60*(1-BE60)*(1-$AK60)/8.76,1)</f>
        <v>77.2</v>
      </c>
      <c r="DD60" s="117">
        <f t="shared" ref="DD60:DD62" ca="1" si="2243">ROUND(CE60*(1-BF60)*(1-$AK60)/8.76,1)</f>
        <v>82.1</v>
      </c>
      <c r="DE60" s="117">
        <f ca="1">ROUND(CF60*(1-BG60)*(1-$AK60)/8.76,1)</f>
        <v>87.1</v>
      </c>
      <c r="DF60" s="117">
        <f t="shared" ref="DF60:DF62" ca="1" si="2244">ROUND(CG60*(1-BH60)*(1-$AK60)/8.76,1)</f>
        <v>92.4</v>
      </c>
      <c r="DG60" s="117">
        <f t="shared" ref="DG60:DG62" ca="1" si="2245">ROUND(CH60*(1-BI60)*(1-$AK60)/8.76,1)</f>
        <v>97.9</v>
      </c>
      <c r="DH60" s="117">
        <f ca="1">ROUND(CI60*(1-BJ60)*(1-$AK60)/8.76,1)</f>
        <v>103.5</v>
      </c>
      <c r="DI60" s="117">
        <f t="shared" ref="DI60:DI62" ca="1" si="2246">ROUND(CJ60*(1-BK60)*(1-$AK60)/8.76,1)</f>
        <v>108.3</v>
      </c>
      <c r="DJ60" s="117">
        <f ca="1">ROUND(CK60*(1-BL60)*(1-$AK60)/8.76,1)</f>
        <v>112.8</v>
      </c>
      <c r="DK60" s="117">
        <f ca="1">ROUND(CL60*(1-BM60)*(1-$AK60)/8.76,1)</f>
        <v>162.4</v>
      </c>
      <c r="DL60" s="117">
        <f t="shared" ref="DL60:DL62" ca="1" si="2247">ROUND(CM60*(1-BN60)*(1-$AK60)/8.76,1)</f>
        <v>243.4</v>
      </c>
      <c r="DM60" s="118" t="str">
        <f t="shared" ref="DM60:DM62" si="2248">DN60&amp;" "&amp;DO60&amp;" "&amp;DP60&amp;" "&amp;DQ60&amp;" "&amp;DR60&amp;" "&amp;DS60&amp;" "&amp;DT60&amp;" "&amp;DU60&amp;" "&amp;DV60&amp;" "&amp;DW60&amp;" "&amp;DX60&amp;" "&amp;DY60&amp;" "&amp;DZ60&amp;" "&amp;EA60&amp;" "&amp;EB60&amp;" "&amp;EC60&amp;" "&amp;ED60&amp;" "&amp;EE60&amp;" "&amp;EF60&amp;" "&amp;EG60&amp;" "&amp;EH60&amp;" "&amp;EI60&amp;" "&amp;EJ60&amp;" "&amp;EK60&amp;" "</f>
        <v xml:space="preserve">0.98 0.98 0.98 0.98 0.98 0.98 0.98 0.98 0.98 0.98 0.98 0.982 0.984 0.986 0.988 0.99 0.992 0.994 0.996 0.998 1 1 1 1 </v>
      </c>
      <c r="DN60" s="72">
        <f>1-AQ60</f>
        <v>0.98</v>
      </c>
      <c r="DO60" s="72">
        <f t="shared" ref="DO60:DO62" si="2249">1-AR60</f>
        <v>0.98</v>
      </c>
      <c r="DP60" s="72">
        <f t="shared" ref="DP60:DP62" si="2250">1-AS60</f>
        <v>0.98</v>
      </c>
      <c r="DQ60" s="72">
        <f t="shared" ref="DQ60:DQ62" si="2251">1-AT60</f>
        <v>0.98</v>
      </c>
      <c r="DR60" s="72">
        <f t="shared" ref="DR60:DR62" si="2252">1-AU60</f>
        <v>0.98</v>
      </c>
      <c r="DS60" s="72">
        <f t="shared" ref="DS60:DS62" si="2253">1-AV60</f>
        <v>0.98</v>
      </c>
      <c r="DT60" s="72">
        <f t="shared" ref="DT60:DT62" si="2254">1-AW60</f>
        <v>0.98</v>
      </c>
      <c r="DU60" s="72">
        <f t="shared" ref="DU60:DU62" si="2255">1-AX60</f>
        <v>0.98</v>
      </c>
      <c r="DV60" s="72">
        <f t="shared" ref="DV60:DV62" si="2256">1-AY60</f>
        <v>0.98</v>
      </c>
      <c r="DW60" s="72">
        <f t="shared" ref="DW60:DW62" si="2257">1-AZ60</f>
        <v>0.98</v>
      </c>
      <c r="DX60" s="72">
        <f t="shared" ref="DX60:DX62" si="2258">1-BA60</f>
        <v>0.98</v>
      </c>
      <c r="DY60" s="72">
        <f t="shared" ref="DY60:DY62" si="2259">1-BB60</f>
        <v>0.98199999999999998</v>
      </c>
      <c r="DZ60" s="72">
        <f t="shared" ref="DZ60:DZ62" si="2260">1-BC60</f>
        <v>0.98399999999999999</v>
      </c>
      <c r="EA60" s="72">
        <f t="shared" ref="EA60:EA62" si="2261">1-BD60</f>
        <v>0.98599999999999999</v>
      </c>
      <c r="EB60" s="72">
        <f t="shared" ref="EB60:EB62" si="2262">1-BE60</f>
        <v>0.98799999999999999</v>
      </c>
      <c r="EC60" s="72">
        <f t="shared" ref="EC60:EC62" si="2263">1-BF60</f>
        <v>0.99</v>
      </c>
      <c r="ED60" s="72">
        <f t="shared" ref="ED60:ED62" si="2264">1-BG60</f>
        <v>0.99199999999999999</v>
      </c>
      <c r="EE60" s="72">
        <f t="shared" ref="EE60:EE62" si="2265">1-BH60</f>
        <v>0.99399999999999999</v>
      </c>
      <c r="EF60" s="72">
        <f t="shared" ref="EF60:EF62" si="2266">1-BI60</f>
        <v>0.996</v>
      </c>
      <c r="EG60" s="72">
        <f t="shared" ref="EG60:EG62" si="2267">1-BJ60</f>
        <v>0.998</v>
      </c>
      <c r="EH60" s="72">
        <f t="shared" ref="EH60:EH62" si="2268">1-BK60</f>
        <v>1</v>
      </c>
      <c r="EI60" s="72">
        <f t="shared" ref="EI60:EI62" si="2269">1-BL60</f>
        <v>1</v>
      </c>
      <c r="EJ60" s="72">
        <f t="shared" ref="EJ60:EJ62" si="2270">1-BM60</f>
        <v>1</v>
      </c>
      <c r="EK60" s="72">
        <f t="shared" ref="EK60:EK62" si="2271">1-BN60</f>
        <v>1</v>
      </c>
    </row>
    <row r="61" spans="1:141" x14ac:dyDescent="0.25">
      <c r="A61" t="str">
        <f t="shared" si="20"/>
        <v>UrbanNIG</v>
      </c>
      <c r="B61" t="str">
        <f t="shared" si="2225"/>
        <v>Urban</v>
      </c>
      <c r="C61" t="str">
        <f>IFERROR(VLOOKUP(D61,'For model'!$B$4:$C$16,2,FALSE),C60)</f>
        <v>NIG</v>
      </c>
      <c r="D61" t="s">
        <v>536</v>
      </c>
      <c r="E61" s="72">
        <f>1-E60-E62</f>
        <v>0.88</v>
      </c>
      <c r="F61" s="72">
        <f>1-F60-F62</f>
        <v>0.72</v>
      </c>
      <c r="G61" s="72">
        <f t="shared" ref="G61:H61" si="2272">1-G60-G62</f>
        <v>0.6</v>
      </c>
      <c r="H61" s="72">
        <f t="shared" si="2272"/>
        <v>0.5</v>
      </c>
      <c r="I61" s="72">
        <f t="shared" ref="I61" si="2273">1-I60-I62</f>
        <v>0.5</v>
      </c>
      <c r="K61" s="72">
        <f t="shared" ref="K61:K62" si="2274">E61</f>
        <v>0.88</v>
      </c>
      <c r="L61" s="72">
        <f t="shared" ref="L61:O61" si="2275">($P61-$K61)/($P$4-$K$4)+K61</f>
        <v>0.84799999999999998</v>
      </c>
      <c r="M61" s="72">
        <f t="shared" si="2275"/>
        <v>0.81599999999999995</v>
      </c>
      <c r="N61" s="72">
        <f t="shared" si="2275"/>
        <v>0.78399999999999992</v>
      </c>
      <c r="O61" s="72">
        <f t="shared" si="2275"/>
        <v>0.75199999999999989</v>
      </c>
      <c r="P61" s="72">
        <f t="shared" ref="P61:P62" si="2276">F61</f>
        <v>0.72</v>
      </c>
      <c r="Q61" s="72">
        <f t="shared" ref="Q61:T61" si="2277">($U61-$P61)/($U$4-$P$4)+P61</f>
        <v>0.69599999999999995</v>
      </c>
      <c r="R61" s="72">
        <f t="shared" si="2277"/>
        <v>0.67199999999999993</v>
      </c>
      <c r="S61" s="72">
        <f t="shared" si="2277"/>
        <v>0.64799999999999991</v>
      </c>
      <c r="T61" s="72">
        <f t="shared" si="2277"/>
        <v>0.62399999999999989</v>
      </c>
      <c r="U61" s="72">
        <f t="shared" ref="U61:U62" si="2278">G61</f>
        <v>0.6</v>
      </c>
      <c r="V61" s="72">
        <f t="shared" ref="V61:V62" si="2279">(AE61-U61)/(AE$4-U$4)+U61</f>
        <v>0.59</v>
      </c>
      <c r="W61" s="72">
        <f t="shared" ref="W61:W62" si="2280">(AE61-U61)/(AE$4-U$4)+V61</f>
        <v>0.57999999999999996</v>
      </c>
      <c r="X61" s="72">
        <f t="shared" ref="X61:X62" si="2281">(AE61-U61)/(AE$4-U$4)+W61</f>
        <v>0.56999999999999995</v>
      </c>
      <c r="Y61" s="72">
        <f t="shared" ref="Y61:Y62" si="2282">(AE61-U61)/(AE$4-U$4)+X61</f>
        <v>0.55999999999999994</v>
      </c>
      <c r="Z61" s="72">
        <f t="shared" ref="Z61:Z62" si="2283">(AE61-U61)/(AE$4-U$4)+Y61</f>
        <v>0.54999999999999993</v>
      </c>
      <c r="AA61" s="72">
        <f t="shared" ref="AA61:AA62" si="2284">(AE61-U61)/(AE$4-U$4)+Z61</f>
        <v>0.53999999999999992</v>
      </c>
      <c r="AB61" s="72">
        <f t="shared" ref="AB61:AB62" si="2285">(AE61-U61)/(AE$4-U$4)+AA61</f>
        <v>0.52999999999999992</v>
      </c>
      <c r="AC61" s="72">
        <f t="shared" ref="AC61:AC62" si="2286">(AE61-U61)/(AE$4-U$4)+AB61</f>
        <v>0.51999999999999991</v>
      </c>
      <c r="AD61" s="72">
        <f t="shared" ref="AD61:AD62" si="2287">(AE61-U61)/(AE$4-U$4)+AC61</f>
        <v>0.5099999999999999</v>
      </c>
      <c r="AE61" s="72">
        <f t="shared" ref="AE61:AE62" si="2288">H61</f>
        <v>0.5</v>
      </c>
      <c r="AF61" s="72">
        <f>(AH61-AE61)/(AH$4-AE$4)+AE61</f>
        <v>0.5</v>
      </c>
      <c r="AG61" s="72">
        <f t="shared" ref="AG61:AG62" si="2289">(AE61+AH61)/2</f>
        <v>0.5</v>
      </c>
      <c r="AH61" s="72">
        <f>I61</f>
        <v>0.5</v>
      </c>
      <c r="AJ61" s="72" t="s">
        <v>548</v>
      </c>
      <c r="AK61" s="72">
        <f>AK60</f>
        <v>0.05</v>
      </c>
      <c r="AL61" s="111">
        <v>0.12</v>
      </c>
      <c r="AM61" s="72">
        <v>0.1</v>
      </c>
      <c r="AN61" s="72">
        <v>0.08</v>
      </c>
      <c r="AO61" s="72">
        <f>AN61</f>
        <v>0.08</v>
      </c>
      <c r="AP61" s="118" t="str">
        <f>AQ61&amp;" "&amp;AR61&amp;" "&amp;AS61&amp;" "&amp;AT61&amp;" "&amp;AU61&amp;" "&amp;AV61&amp;" "&amp;AW61&amp;" "&amp;AX61&amp;" "&amp;AY61&amp;" "&amp;AZ61&amp;" "&amp;BA61&amp;" "&amp;BB61&amp;" "&amp;BC61&amp;" "&amp;BD61&amp;" "&amp;BE61&amp;" "&amp;BF61&amp;" "&amp;BG61&amp;" "&amp;BH61&amp;" "&amp;BI61&amp;" "&amp;BJ61&amp;" "&amp;BK61&amp;" "&amp;BL61&amp;" "&amp;BM61&amp;" "&amp;BN61&amp;" "</f>
        <v xml:space="preserve">0.12 0.118 0.116 0.114 0.112 0.11 0.108 0.106 0.104 0.102 0.1 0.098 0.096 0.094 0.092 0.09 0.088 0.086 0.084 0.082 0.08 0.08 0.08 0.08 </v>
      </c>
      <c r="AQ61" s="72">
        <f t="shared" ref="AQ61:AQ62" si="2290">AL61</f>
        <v>0.12</v>
      </c>
      <c r="AR61" s="72">
        <f t="shared" ref="AR61:AR62" si="2291">(BA61-AQ61)/(BA$4-AQ$4)+AQ61</f>
        <v>0.11799999999999999</v>
      </c>
      <c r="AS61" s="72">
        <f t="shared" ref="AS61:AS62" si="2292">(BA61-AQ61)/(BA$4-AQ$4)+AR61</f>
        <v>0.11599999999999999</v>
      </c>
      <c r="AT61" s="72">
        <f t="shared" ref="AT61:AT62" si="2293">(BA61-AQ61)/(BA$4-AQ$4)+AS61</f>
        <v>0.11399999999999999</v>
      </c>
      <c r="AU61" s="72">
        <f t="shared" ref="AU61:AU62" si="2294">(BA61-AQ61)/(BA$4-AQ$4)+AT61</f>
        <v>0.11199999999999999</v>
      </c>
      <c r="AV61" s="72">
        <f t="shared" ref="AV61:AV62" si="2295">(BA61-AQ61)/(BA$4-AQ$4)+AU61</f>
        <v>0.10999999999999999</v>
      </c>
      <c r="AW61" s="72">
        <f t="shared" ref="AW61:AW62" si="2296">(BA61-AQ61)/(BA$4-AQ$4)+AV61</f>
        <v>0.10799999999999998</v>
      </c>
      <c r="AX61" s="72">
        <f t="shared" ref="AX61:AX62" si="2297">(BA61-AQ61)/(BA$4-AQ$4)+AW61</f>
        <v>0.10599999999999998</v>
      </c>
      <c r="AY61" s="72">
        <f t="shared" ref="AY61:AY62" si="2298">(BA61-AQ61)/(BA$4-AQ$4)+AX61</f>
        <v>0.10399999999999998</v>
      </c>
      <c r="AZ61" s="72">
        <f t="shared" ref="AZ61:AZ62" si="2299">(BA61-AQ61)/(BA$4-AQ$4)+AY61</f>
        <v>0.10199999999999998</v>
      </c>
      <c r="BA61" s="72">
        <f t="shared" ref="BA61:BA62" si="2300">AM61</f>
        <v>0.1</v>
      </c>
      <c r="BB61" s="72">
        <f t="shared" ref="BB61:BB62" si="2301">(BK61-BA61)/(BK$4-BA$4)+BA61</f>
        <v>9.8000000000000004E-2</v>
      </c>
      <c r="BC61" s="72">
        <f t="shared" ref="BC61:BC62" si="2302">(BK61-BA61)/(BK$4-BA$4)+BB61</f>
        <v>9.6000000000000002E-2</v>
      </c>
      <c r="BD61" s="72">
        <f t="shared" ref="BD61:BD62" si="2303">(BK61-BA61)/(BK$4-BA$4)+BC61</f>
        <v>9.4E-2</v>
      </c>
      <c r="BE61" s="72">
        <f t="shared" ref="BE61:BE62" si="2304">(BK61-BA61)/(BK$4-BA$4)+BD61</f>
        <v>9.1999999999999998E-2</v>
      </c>
      <c r="BF61" s="72">
        <f t="shared" ref="BF61:BF62" si="2305">(BK61-BA61)/(BK$4-BA$4)+BE61</f>
        <v>0.09</v>
      </c>
      <c r="BG61" s="72">
        <f t="shared" ref="BG61:BG62" si="2306">(BK61-BA61)/(BK$4-BA$4)+BF61</f>
        <v>8.7999999999999995E-2</v>
      </c>
      <c r="BH61" s="72">
        <f t="shared" ref="BH61:BH62" si="2307">(BK61-BA61)/(BK$4-BA$4)+BG61</f>
        <v>8.5999999999999993E-2</v>
      </c>
      <c r="BI61" s="72">
        <f t="shared" ref="BI61:BI62" si="2308">(BK61-BA61)/(BK$4-BA$4)+BH61</f>
        <v>8.3999999999999991E-2</v>
      </c>
      <c r="BJ61" s="72">
        <f t="shared" ref="BJ61:BJ62" si="2309">(BK61-BA61)/(BK$4-BA$4)+BI61</f>
        <v>8.199999999999999E-2</v>
      </c>
      <c r="BK61" s="72">
        <f t="shared" ref="BK61:BK62" si="2310">AN61</f>
        <v>0.08</v>
      </c>
      <c r="BL61" s="72">
        <f>(BN61-BK61)/(BN$4-BK$4)+BK61</f>
        <v>0.08</v>
      </c>
      <c r="BM61" s="72">
        <f t="shared" ref="BM61:BM62" si="2311">(BK61+BN61)/2</f>
        <v>0.08</v>
      </c>
      <c r="BN61" s="72">
        <f>AO61</f>
        <v>0.08</v>
      </c>
      <c r="BP61" s="84">
        <f ca="1">K61/(K61+K62)*(K63-BP60)</f>
        <v>734.8</v>
      </c>
      <c r="BQ61" s="84">
        <f t="shared" ref="BQ61" ca="1" si="2312">L61/(L61+L62)*(L63-BQ60)</f>
        <v>719.952</v>
      </c>
      <c r="BR61" s="84">
        <f t="shared" ref="BR61" ca="1" si="2313">M61/(M61+M62)*(M63-BR60)</f>
        <v>744.19199999999989</v>
      </c>
      <c r="BS61" s="84">
        <f t="shared" ref="BS61" ca="1" si="2314">N61/(N61+N62)*(N63-BS60)</f>
        <v>765.96799999999996</v>
      </c>
      <c r="BT61" s="84">
        <f t="shared" ref="BT61" ca="1" si="2315">O61/(O61+O62)*(O63-BT60)</f>
        <v>785.08799999999997</v>
      </c>
      <c r="BU61" s="84">
        <f t="shared" ref="BU61" ca="1" si="2316">P61/(P61+P62)*(P63-BU60)</f>
        <v>889.19999999999993</v>
      </c>
      <c r="BV61" s="84">
        <f t="shared" ref="BV61" ca="1" si="2317">Q61/(Q61+Q62)*(Q63-BV60)</f>
        <v>908.976</v>
      </c>
      <c r="BW61" s="84">
        <f t="shared" ref="BW61" ca="1" si="2318">R61/(R61+R62)*(R63-BW60)</f>
        <v>926.68799999999987</v>
      </c>
      <c r="BX61" s="84">
        <f t="shared" ref="BX61" ca="1" si="2319">S61/(S61+S62)*(S63-BX60)</f>
        <v>942.19199999999989</v>
      </c>
      <c r="BY61" s="84">
        <f t="shared" ref="BY61" ca="1" si="2320">T61/(T61+T62)*(T63-BY60)</f>
        <v>954.71999999999991</v>
      </c>
      <c r="BZ61" s="84">
        <f t="shared" ref="BZ61" ca="1" si="2321">U61/(U61+U62)*(U63-BZ60)</f>
        <v>965.39999999999986</v>
      </c>
      <c r="CA61" s="84">
        <f t="shared" ref="CA61" ca="1" si="2322">V61/(V61+V62)*(V63-CA60)</f>
        <v>997.69</v>
      </c>
      <c r="CB61" s="84">
        <f t="shared" ref="CB61" ca="1" si="2323">W61/(W61+W62)*(W63-CB60)</f>
        <v>1028.9200000000003</v>
      </c>
      <c r="CC61" s="84">
        <f t="shared" ref="CC61" ca="1" si="2324">X61/(X61+X62)*(X63-CC60)</f>
        <v>1060.1999999999998</v>
      </c>
      <c r="CD61" s="84">
        <f t="shared" ref="CD61" ca="1" si="2325">Y61/(Y61+Y62)*(Y63-CD60)</f>
        <v>1090.8800000000001</v>
      </c>
      <c r="CE61" s="84">
        <f t="shared" ref="CE61" ca="1" si="2326">Z61/(Z61+Z62)*(Z63-CE60)</f>
        <v>1121.4499999999998</v>
      </c>
      <c r="CF61" s="84">
        <f t="shared" ref="CF61" ca="1" si="2327">AA61/(AA61+AA62)*(AA63-CF60)</f>
        <v>1151.0806158550522</v>
      </c>
      <c r="CG61" s="84">
        <f t="shared" ref="CG61" ca="1" si="2328">AB61/(AB61+AB62)*(AB63-CG60)</f>
        <v>1179.928785010839</v>
      </c>
      <c r="CH61" s="84">
        <f t="shared" ref="CH61" ca="1" si="2329">AC61/(AC61+AC62)*(AC63-CH60)</f>
        <v>1207.8805473501588</v>
      </c>
      <c r="CI61" s="84">
        <f t="shared" ref="CI61" ca="1" si="2330">AD61/(AD61+AD62)*(AD63-CI60)</f>
        <v>1234.8206594872977</v>
      </c>
      <c r="CJ61" s="84">
        <f t="shared" ref="CJ61" ca="1" si="2331">AE61/(AE61+AE62)*(AE63-CJ60)</f>
        <v>1248.2805725401274</v>
      </c>
      <c r="CK61" s="84">
        <f t="shared" ref="CK61" ca="1" si="2332">AF61/(AF61+AF62)*(AF63-CK60)</f>
        <v>1299.8618800369222</v>
      </c>
      <c r="CL61" s="84">
        <f t="shared" ref="CL61" ca="1" si="2333">AG61/(AG61+AG62)*(AG63-CL60)</f>
        <v>1871.3808207476914</v>
      </c>
      <c r="CM61" s="84">
        <f t="shared" ref="CM61" ca="1" si="2334">AH61/(AH61+AH62)*(AH63-CM60)</f>
        <v>2805.5120405630796</v>
      </c>
      <c r="CN61" s="118" t="str">
        <f t="shared" ca="1" si="2228"/>
        <v xml:space="preserve">70.1 68.9 71.3 73.6 75.6 85.8 87.9 89.8 91.6 93 94.2 97.6 100.9 104.2 107.4 110.7 113.8 117 120 122.9 124.5 129.7 186.7 279.9 </v>
      </c>
      <c r="CO61" s="117">
        <f t="shared" ref="CO61:CO62" ca="1" si="2335">ROUND(BP61*(1-AQ61)*(1-$AK61)/8.76,1)</f>
        <v>70.099999999999994</v>
      </c>
      <c r="CP61" s="117">
        <f t="shared" ca="1" si="2229"/>
        <v>68.900000000000006</v>
      </c>
      <c r="CQ61" s="117">
        <f t="shared" ca="1" si="2230"/>
        <v>71.3</v>
      </c>
      <c r="CR61" s="117">
        <f t="shared" ca="1" si="2231"/>
        <v>73.599999999999994</v>
      </c>
      <c r="CS61" s="117">
        <f t="shared" ca="1" si="2232"/>
        <v>75.599999999999994</v>
      </c>
      <c r="CT61" s="117">
        <f t="shared" ca="1" si="2233"/>
        <v>85.8</v>
      </c>
      <c r="CU61" s="117">
        <f t="shared" ca="1" si="2234"/>
        <v>87.9</v>
      </c>
      <c r="CV61" s="117">
        <f t="shared" ca="1" si="2235"/>
        <v>89.8</v>
      </c>
      <c r="CW61" s="117">
        <f t="shared" ca="1" si="2236"/>
        <v>91.6</v>
      </c>
      <c r="CX61" s="117">
        <f t="shared" ca="1" si="2237"/>
        <v>93</v>
      </c>
      <c r="CY61" s="117">
        <f t="shared" ca="1" si="2238"/>
        <v>94.2</v>
      </c>
      <c r="CZ61" s="117">
        <f t="shared" ca="1" si="2239"/>
        <v>97.6</v>
      </c>
      <c r="DA61" s="117">
        <f t="shared" ca="1" si="2240"/>
        <v>100.9</v>
      </c>
      <c r="DB61" s="117">
        <f t="shared" ca="1" si="2241"/>
        <v>104.2</v>
      </c>
      <c r="DC61" s="117">
        <f t="shared" ca="1" si="2242"/>
        <v>107.4</v>
      </c>
      <c r="DD61" s="117">
        <f t="shared" ca="1" si="2243"/>
        <v>110.7</v>
      </c>
      <c r="DE61" s="117">
        <f t="shared" ref="DE61:DE62" ca="1" si="2336">ROUND(CF61*(1-BG61)*(1-$AK61)/8.76,1)</f>
        <v>113.8</v>
      </c>
      <c r="DF61" s="117">
        <f t="shared" ca="1" si="2244"/>
        <v>117</v>
      </c>
      <c r="DG61" s="117">
        <f t="shared" ca="1" si="2245"/>
        <v>120</v>
      </c>
      <c r="DH61" s="117">
        <f t="shared" ref="DH61:DH62" ca="1" si="2337">ROUND(CI61*(1-BJ61)*(1-$AK61)/8.76,1)</f>
        <v>122.9</v>
      </c>
      <c r="DI61" s="117">
        <f t="shared" ca="1" si="2246"/>
        <v>124.5</v>
      </c>
      <c r="DJ61" s="117">
        <f t="shared" ref="DJ61:DJ62" ca="1" si="2338">ROUND(CK61*(1-BL61)*(1-$AK61)/8.76,1)</f>
        <v>129.69999999999999</v>
      </c>
      <c r="DK61" s="117">
        <f t="shared" ref="DK61:DK62" ca="1" si="2339">ROUND(CL61*(1-BM61)*(1-$AK61)/8.76,1)</f>
        <v>186.7</v>
      </c>
      <c r="DL61" s="117">
        <f t="shared" ca="1" si="2247"/>
        <v>279.89999999999998</v>
      </c>
      <c r="DM61" s="118" t="str">
        <f t="shared" si="2248"/>
        <v xml:space="preserve">0.88 0.882 0.884 0.886 0.888 0.89 0.892 0.894 0.896 0.898 0.9 0.902 0.904 0.906 0.908 0.91 0.912 0.914 0.916 0.918 0.92 0.92 0.92 0.92 </v>
      </c>
      <c r="DN61" s="72">
        <f t="shared" ref="DN61:DN62" si="2340">1-AQ61</f>
        <v>0.88</v>
      </c>
      <c r="DO61" s="72">
        <f t="shared" si="2249"/>
        <v>0.88200000000000001</v>
      </c>
      <c r="DP61" s="72">
        <f t="shared" si="2250"/>
        <v>0.88400000000000001</v>
      </c>
      <c r="DQ61" s="72">
        <f t="shared" si="2251"/>
        <v>0.88600000000000001</v>
      </c>
      <c r="DR61" s="72">
        <f t="shared" si="2252"/>
        <v>0.88800000000000001</v>
      </c>
      <c r="DS61" s="72">
        <f t="shared" si="2253"/>
        <v>0.89</v>
      </c>
      <c r="DT61" s="72">
        <f t="shared" si="2254"/>
        <v>0.89200000000000002</v>
      </c>
      <c r="DU61" s="72">
        <f t="shared" si="2255"/>
        <v>0.89400000000000002</v>
      </c>
      <c r="DV61" s="72">
        <f t="shared" si="2256"/>
        <v>0.89600000000000002</v>
      </c>
      <c r="DW61" s="72">
        <f t="shared" si="2257"/>
        <v>0.89800000000000002</v>
      </c>
      <c r="DX61" s="72">
        <f t="shared" si="2258"/>
        <v>0.9</v>
      </c>
      <c r="DY61" s="72">
        <f t="shared" si="2259"/>
        <v>0.90200000000000002</v>
      </c>
      <c r="DZ61" s="72">
        <f t="shared" si="2260"/>
        <v>0.90400000000000003</v>
      </c>
      <c r="EA61" s="72">
        <f t="shared" si="2261"/>
        <v>0.90600000000000003</v>
      </c>
      <c r="EB61" s="72">
        <f t="shared" si="2262"/>
        <v>0.90800000000000003</v>
      </c>
      <c r="EC61" s="72">
        <f t="shared" si="2263"/>
        <v>0.91</v>
      </c>
      <c r="ED61" s="72">
        <f t="shared" si="2264"/>
        <v>0.91200000000000003</v>
      </c>
      <c r="EE61" s="72">
        <f t="shared" si="2265"/>
        <v>0.91400000000000003</v>
      </c>
      <c r="EF61" s="72">
        <f t="shared" si="2266"/>
        <v>0.91600000000000004</v>
      </c>
      <c r="EG61" s="72">
        <f t="shared" si="2267"/>
        <v>0.91800000000000004</v>
      </c>
      <c r="EH61" s="72">
        <f t="shared" si="2268"/>
        <v>0.92</v>
      </c>
      <c r="EI61" s="72">
        <f t="shared" si="2269"/>
        <v>0.92</v>
      </c>
      <c r="EJ61" s="72">
        <f t="shared" si="2270"/>
        <v>0.92</v>
      </c>
      <c r="EK61" s="72">
        <f t="shared" si="2271"/>
        <v>0.92</v>
      </c>
    </row>
    <row r="62" spans="1:141" x14ac:dyDescent="0.25">
      <c r="A62" t="str">
        <f t="shared" si="20"/>
        <v>RuralNIG</v>
      </c>
      <c r="B62" t="str">
        <f t="shared" si="2225"/>
        <v>Rural</v>
      </c>
      <c r="C62" t="str">
        <f>IFERROR(VLOOKUP(D62,'For model'!$B$4:$C$16,2,FALSE),C61)</f>
        <v>NIG</v>
      </c>
      <c r="D62" t="s">
        <v>518</v>
      </c>
      <c r="E62" s="72">
        <v>0.02</v>
      </c>
      <c r="F62" s="72">
        <v>0.03</v>
      </c>
      <c r="G62" s="72">
        <v>0.05</v>
      </c>
      <c r="H62" s="72">
        <v>0.1</v>
      </c>
      <c r="I62" s="72">
        <v>0.1</v>
      </c>
      <c r="K62" s="72">
        <f t="shared" si="2274"/>
        <v>0.02</v>
      </c>
      <c r="L62" s="72">
        <f t="shared" ref="L62:O62" si="2341">($P62-$K62)/($P$4-$K$4)+K62</f>
        <v>2.1999999999999999E-2</v>
      </c>
      <c r="M62" s="72">
        <f t="shared" si="2341"/>
        <v>2.3999999999999997E-2</v>
      </c>
      <c r="N62" s="72">
        <f t="shared" si="2341"/>
        <v>2.5999999999999995E-2</v>
      </c>
      <c r="O62" s="72">
        <f t="shared" si="2341"/>
        <v>2.7999999999999994E-2</v>
      </c>
      <c r="P62" s="72">
        <f t="shared" si="2276"/>
        <v>0.03</v>
      </c>
      <c r="Q62" s="72">
        <f t="shared" ref="Q62:T62" si="2342">($U62-$P62)/($U$4-$P$4)+P62</f>
        <v>3.4000000000000002E-2</v>
      </c>
      <c r="R62" s="72">
        <f t="shared" si="2342"/>
        <v>3.8000000000000006E-2</v>
      </c>
      <c r="S62" s="72">
        <f t="shared" si="2342"/>
        <v>4.200000000000001E-2</v>
      </c>
      <c r="T62" s="72">
        <f t="shared" si="2342"/>
        <v>4.6000000000000013E-2</v>
      </c>
      <c r="U62" s="72">
        <f t="shared" si="2278"/>
        <v>0.05</v>
      </c>
      <c r="V62" s="72">
        <f t="shared" si="2279"/>
        <v>5.5E-2</v>
      </c>
      <c r="W62" s="72">
        <f t="shared" si="2280"/>
        <v>0.06</v>
      </c>
      <c r="X62" s="72">
        <f t="shared" si="2281"/>
        <v>6.5000000000000002E-2</v>
      </c>
      <c r="Y62" s="72">
        <f t="shared" si="2282"/>
        <v>7.0000000000000007E-2</v>
      </c>
      <c r="Z62" s="72">
        <f t="shared" si="2283"/>
        <v>7.5000000000000011E-2</v>
      </c>
      <c r="AA62" s="72">
        <f t="shared" si="2284"/>
        <v>8.0000000000000016E-2</v>
      </c>
      <c r="AB62" s="72">
        <f t="shared" si="2285"/>
        <v>8.500000000000002E-2</v>
      </c>
      <c r="AC62" s="72">
        <f t="shared" si="2286"/>
        <v>9.0000000000000024E-2</v>
      </c>
      <c r="AD62" s="72">
        <f t="shared" si="2287"/>
        <v>9.5000000000000029E-2</v>
      </c>
      <c r="AE62" s="72">
        <f t="shared" si="2288"/>
        <v>0.1</v>
      </c>
      <c r="AF62" s="72">
        <f>(AH62-AE62)/(AH$4-AE$4)+AE62</f>
        <v>0.1</v>
      </c>
      <c r="AG62" s="72">
        <f t="shared" si="2289"/>
        <v>0.1</v>
      </c>
      <c r="AH62" s="72">
        <f>I62</f>
        <v>0.1</v>
      </c>
      <c r="AJ62" s="116">
        <f>1-((1-AL62)*K62+(1-AL61)*K61+(1-AL60)*K60)*(1-AK60)</f>
        <v>0.15602000000000005</v>
      </c>
      <c r="AK62" s="72">
        <f>AK61</f>
        <v>0.05</v>
      </c>
      <c r="AL62" s="72">
        <v>0.2</v>
      </c>
      <c r="AM62" s="72">
        <v>0.2</v>
      </c>
      <c r="AN62" s="72">
        <v>0.2</v>
      </c>
      <c r="AO62" s="72">
        <f>AN62</f>
        <v>0.2</v>
      </c>
      <c r="AP62" s="118" t="str">
        <f>AQ62&amp;" "&amp;AR62&amp;" "&amp;AS62&amp;" "&amp;AT62&amp;" "&amp;AU62&amp;" "&amp;AV62&amp;" "&amp;AW62&amp;" "&amp;AX62&amp;" "&amp;AY62&amp;" "&amp;AZ62&amp;" "&amp;BA62&amp;" "&amp;BB62&amp;" "&amp;BC62&amp;" "&amp;BD62&amp;" "&amp;BE62&amp;" "&amp;BF62&amp;" "&amp;BG62&amp;" "&amp;BH62&amp;" "&amp;BI62&amp;" "&amp;BJ62&amp;" "&amp;BK62&amp;" "&amp;BL62&amp;" "&amp;BM62&amp;" "&amp;BN62&amp;" "</f>
        <v xml:space="preserve">0.2 0.2 0.2 0.2 0.2 0.2 0.2 0.2 0.2 0.2 0.2 0.2 0.2 0.2 0.2 0.2 0.2 0.2 0.2 0.2 0.2 0.2 0.2 0.2 </v>
      </c>
      <c r="AQ62" s="72">
        <f t="shared" si="2290"/>
        <v>0.2</v>
      </c>
      <c r="AR62" s="72">
        <f t="shared" si="2291"/>
        <v>0.2</v>
      </c>
      <c r="AS62" s="72">
        <f t="shared" si="2292"/>
        <v>0.2</v>
      </c>
      <c r="AT62" s="72">
        <f t="shared" si="2293"/>
        <v>0.2</v>
      </c>
      <c r="AU62" s="72">
        <f t="shared" si="2294"/>
        <v>0.2</v>
      </c>
      <c r="AV62" s="72">
        <f t="shared" si="2295"/>
        <v>0.2</v>
      </c>
      <c r="AW62" s="72">
        <f t="shared" si="2296"/>
        <v>0.2</v>
      </c>
      <c r="AX62" s="72">
        <f t="shared" si="2297"/>
        <v>0.2</v>
      </c>
      <c r="AY62" s="72">
        <f t="shared" si="2298"/>
        <v>0.2</v>
      </c>
      <c r="AZ62" s="72">
        <f t="shared" si="2299"/>
        <v>0.2</v>
      </c>
      <c r="BA62" s="72">
        <f t="shared" si="2300"/>
        <v>0.2</v>
      </c>
      <c r="BB62" s="72">
        <f t="shared" si="2301"/>
        <v>0.2</v>
      </c>
      <c r="BC62" s="72">
        <f t="shared" si="2302"/>
        <v>0.2</v>
      </c>
      <c r="BD62" s="72">
        <f t="shared" si="2303"/>
        <v>0.2</v>
      </c>
      <c r="BE62" s="72">
        <f t="shared" si="2304"/>
        <v>0.2</v>
      </c>
      <c r="BF62" s="72">
        <f t="shared" si="2305"/>
        <v>0.2</v>
      </c>
      <c r="BG62" s="72">
        <f t="shared" si="2306"/>
        <v>0.2</v>
      </c>
      <c r="BH62" s="72">
        <f t="shared" si="2307"/>
        <v>0.2</v>
      </c>
      <c r="BI62" s="72">
        <f t="shared" si="2308"/>
        <v>0.2</v>
      </c>
      <c r="BJ62" s="72">
        <f t="shared" si="2309"/>
        <v>0.2</v>
      </c>
      <c r="BK62" s="72">
        <f t="shared" si="2310"/>
        <v>0.2</v>
      </c>
      <c r="BL62" s="72">
        <f>(BN62-BK62)/(BN$4-BK$4)+BK62</f>
        <v>0.2</v>
      </c>
      <c r="BM62" s="72">
        <f t="shared" si="2311"/>
        <v>0.2</v>
      </c>
      <c r="BN62" s="72">
        <f>AO62</f>
        <v>0.2</v>
      </c>
      <c r="BP62" s="84">
        <f ca="1">K62/(K61+K62)*(K63-BP60)</f>
        <v>16.7</v>
      </c>
      <c r="BQ62" s="84">
        <f t="shared" ref="BQ62" ca="1" si="2343">L62/(L61+L62)*(L63-BQ60)</f>
        <v>18.678000000000001</v>
      </c>
      <c r="BR62" s="84">
        <f t="shared" ref="BR62" ca="1" si="2344">M62/(M61+M62)*(M63-BR60)</f>
        <v>21.887999999999998</v>
      </c>
      <c r="BS62" s="84">
        <f t="shared" ref="BS62" ca="1" si="2345">N62/(N61+N62)*(N63-BS60)</f>
        <v>25.401999999999997</v>
      </c>
      <c r="BT62" s="84">
        <f t="shared" ref="BT62" ca="1" si="2346">O62/(O61+O62)*(O63-BT60)</f>
        <v>29.231999999999996</v>
      </c>
      <c r="BU62" s="84">
        <f t="shared" ref="BU62" ca="1" si="2347">P62/(P61+P62)*(P63-BU60)</f>
        <v>37.050000000000004</v>
      </c>
      <c r="BV62" s="84">
        <f t="shared" ref="BV62" ca="1" si="2348">Q62/(Q61+Q62)*(Q63-BV60)</f>
        <v>44.404000000000003</v>
      </c>
      <c r="BW62" s="84">
        <f t="shared" ref="BW62" ca="1" si="2349">R62/(R61+R62)*(R63-BW60)</f>
        <v>52.402000000000008</v>
      </c>
      <c r="BX62" s="84">
        <f t="shared" ref="BX62" ca="1" si="2350">S62/(S61+S62)*(S63-BX60)</f>
        <v>61.068000000000019</v>
      </c>
      <c r="BY62" s="84">
        <f t="shared" ref="BY62" ca="1" si="2351">T62/(T61+T62)*(T63-BY60)</f>
        <v>70.380000000000024</v>
      </c>
      <c r="BZ62" s="84">
        <f t="shared" ref="BZ62" ca="1" si="2352">U62/(U61+U62)*(U63-BZ60)</f>
        <v>80.45</v>
      </c>
      <c r="CA62" s="84">
        <f t="shared" ref="CA62" ca="1" si="2353">V62/(V61+V62)*(V63-CA60)</f>
        <v>93.00500000000001</v>
      </c>
      <c r="CB62" s="84">
        <f t="shared" ref="CB62" ca="1" si="2354">W62/(W61+W62)*(W63-CB60)</f>
        <v>106.44000000000003</v>
      </c>
      <c r="CC62" s="84">
        <f t="shared" ref="CC62" ca="1" si="2355">X62/(X61+X62)*(X63-CC60)</f>
        <v>120.89999999999999</v>
      </c>
      <c r="CD62" s="84">
        <f t="shared" ref="CD62" ca="1" si="2356">Y62/(Y61+Y62)*(Y63-CD60)</f>
        <v>136.36000000000004</v>
      </c>
      <c r="CE62" s="84">
        <f t="shared" ref="CE62" ca="1" si="2357">Z62/(Z61+Z62)*(Z63-CE60)</f>
        <v>152.92500000000004</v>
      </c>
      <c r="CF62" s="84">
        <f t="shared" ref="CF62" ca="1" si="2358">AA62/(AA61+AA62)*(AA63-CF60)</f>
        <v>170.53046160815597</v>
      </c>
      <c r="CG62" s="84">
        <f t="shared" ref="CG62" ca="1" si="2359">AB62/(AB61+AB62)*(AB63-CG60)</f>
        <v>189.23386174702139</v>
      </c>
      <c r="CH62" s="84">
        <f t="shared" ref="CH62" ca="1" si="2360">AC62/(AC61+AC62)*(AC63-CH60)</f>
        <v>209.05624857983528</v>
      </c>
      <c r="CI62" s="84">
        <f t="shared" ref="CI62" ca="1" si="2361">AD62/(AD61+AD62)*(AD63-CI60)</f>
        <v>230.01561304175166</v>
      </c>
      <c r="CJ62" s="84">
        <f t="shared" ref="CJ62" ca="1" si="2362">AE62/(AE61+AE62)*(AE63-CJ60)</f>
        <v>249.6561145080255</v>
      </c>
      <c r="CK62" s="84">
        <f t="shared" ref="CK62" ca="1" si="2363">AF62/(AF61+AF62)*(AF63-CK60)</f>
        <v>259.97237600738447</v>
      </c>
      <c r="CL62" s="84">
        <f t="shared" ref="CL62" ca="1" si="2364">AG62/(AG61+AG62)*(AG63-CL60)</f>
        <v>374.27616414953826</v>
      </c>
      <c r="CM62" s="84">
        <f t="shared" ref="CM62" ca="1" si="2365">AH62/(AH61+AH62)*(AH63-CM60)</f>
        <v>561.10240811261599</v>
      </c>
      <c r="CN62" s="118" t="str">
        <f t="shared" ca="1" si="2228"/>
        <v xml:space="preserve">1.4 1.6 1.9 2.2 2.5 3.2 3.9 4.5 5.3 6.1 7 8.1 9.2 10.5 11.8 13.3 14.8 16.4 18.1 20 21.7 22.6 32.5 48.7 </v>
      </c>
      <c r="CO62" s="117">
        <f t="shared" ca="1" si="2335"/>
        <v>1.4</v>
      </c>
      <c r="CP62" s="117">
        <f t="shared" ca="1" si="2229"/>
        <v>1.6</v>
      </c>
      <c r="CQ62" s="117">
        <f t="shared" ca="1" si="2230"/>
        <v>1.9</v>
      </c>
      <c r="CR62" s="117">
        <f t="shared" ca="1" si="2231"/>
        <v>2.2000000000000002</v>
      </c>
      <c r="CS62" s="117">
        <f t="shared" ca="1" si="2232"/>
        <v>2.5</v>
      </c>
      <c r="CT62" s="117">
        <f t="shared" ca="1" si="2233"/>
        <v>3.2</v>
      </c>
      <c r="CU62" s="117">
        <f t="shared" ca="1" si="2234"/>
        <v>3.9</v>
      </c>
      <c r="CV62" s="117">
        <f t="shared" ca="1" si="2235"/>
        <v>4.5</v>
      </c>
      <c r="CW62" s="117">
        <f t="shared" ca="1" si="2236"/>
        <v>5.3</v>
      </c>
      <c r="CX62" s="117">
        <f t="shared" ca="1" si="2237"/>
        <v>6.1</v>
      </c>
      <c r="CY62" s="117">
        <f t="shared" ca="1" si="2238"/>
        <v>7</v>
      </c>
      <c r="CZ62" s="117">
        <f t="shared" ca="1" si="2239"/>
        <v>8.1</v>
      </c>
      <c r="DA62" s="117">
        <f t="shared" ca="1" si="2240"/>
        <v>9.1999999999999993</v>
      </c>
      <c r="DB62" s="117">
        <f t="shared" ca="1" si="2241"/>
        <v>10.5</v>
      </c>
      <c r="DC62" s="117">
        <f t="shared" ca="1" si="2242"/>
        <v>11.8</v>
      </c>
      <c r="DD62" s="117">
        <f t="shared" ca="1" si="2243"/>
        <v>13.3</v>
      </c>
      <c r="DE62" s="117">
        <f t="shared" ca="1" si="2336"/>
        <v>14.8</v>
      </c>
      <c r="DF62" s="117">
        <f t="shared" ca="1" si="2244"/>
        <v>16.399999999999999</v>
      </c>
      <c r="DG62" s="117">
        <f t="shared" ca="1" si="2245"/>
        <v>18.100000000000001</v>
      </c>
      <c r="DH62" s="117">
        <f t="shared" ca="1" si="2337"/>
        <v>20</v>
      </c>
      <c r="DI62" s="117">
        <f t="shared" ca="1" si="2246"/>
        <v>21.7</v>
      </c>
      <c r="DJ62" s="117">
        <f t="shared" ca="1" si="2338"/>
        <v>22.6</v>
      </c>
      <c r="DK62" s="117">
        <f t="shared" ca="1" si="2339"/>
        <v>32.5</v>
      </c>
      <c r="DL62" s="117">
        <f t="shared" ca="1" si="2247"/>
        <v>48.7</v>
      </c>
      <c r="DM62" s="118" t="str">
        <f t="shared" si="2248"/>
        <v xml:space="preserve">0.8 0.8 0.8 0.8 0.8 0.8 0.8 0.8 0.8 0.8 0.8 0.8 0.8 0.8 0.8 0.8 0.8 0.8 0.8 0.8 0.8 0.8 0.8 0.8 </v>
      </c>
      <c r="DN62" s="72">
        <f t="shared" si="2340"/>
        <v>0.8</v>
      </c>
      <c r="DO62" s="72">
        <f t="shared" si="2249"/>
        <v>0.8</v>
      </c>
      <c r="DP62" s="72">
        <f t="shared" si="2250"/>
        <v>0.8</v>
      </c>
      <c r="DQ62" s="72">
        <f t="shared" si="2251"/>
        <v>0.8</v>
      </c>
      <c r="DR62" s="72">
        <f t="shared" si="2252"/>
        <v>0.8</v>
      </c>
      <c r="DS62" s="72">
        <f t="shared" si="2253"/>
        <v>0.8</v>
      </c>
      <c r="DT62" s="72">
        <f t="shared" si="2254"/>
        <v>0.8</v>
      </c>
      <c r="DU62" s="72">
        <f t="shared" si="2255"/>
        <v>0.8</v>
      </c>
      <c r="DV62" s="72">
        <f t="shared" si="2256"/>
        <v>0.8</v>
      </c>
      <c r="DW62" s="72">
        <f t="shared" si="2257"/>
        <v>0.8</v>
      </c>
      <c r="DX62" s="72">
        <f t="shared" si="2258"/>
        <v>0.8</v>
      </c>
      <c r="DY62" s="72">
        <f t="shared" si="2259"/>
        <v>0.8</v>
      </c>
      <c r="DZ62" s="72">
        <f t="shared" si="2260"/>
        <v>0.8</v>
      </c>
      <c r="EA62" s="72">
        <f t="shared" si="2261"/>
        <v>0.8</v>
      </c>
      <c r="EB62" s="72">
        <f t="shared" si="2262"/>
        <v>0.8</v>
      </c>
      <c r="EC62" s="72">
        <f t="shared" si="2263"/>
        <v>0.8</v>
      </c>
      <c r="ED62" s="72">
        <f t="shared" si="2264"/>
        <v>0.8</v>
      </c>
      <c r="EE62" s="72">
        <f t="shared" si="2265"/>
        <v>0.8</v>
      </c>
      <c r="EF62" s="72">
        <f t="shared" si="2266"/>
        <v>0.8</v>
      </c>
      <c r="EG62" s="72">
        <f t="shared" si="2267"/>
        <v>0.8</v>
      </c>
      <c r="EH62" s="72">
        <f t="shared" si="2268"/>
        <v>0.8</v>
      </c>
      <c r="EI62" s="72">
        <f t="shared" si="2269"/>
        <v>0.8</v>
      </c>
      <c r="EJ62" s="72">
        <f t="shared" si="2270"/>
        <v>0.8</v>
      </c>
      <c r="EK62" s="72">
        <f t="shared" si="2271"/>
        <v>0.8</v>
      </c>
    </row>
    <row r="63" spans="1:141" x14ac:dyDescent="0.25">
      <c r="A63" t="str">
        <f t="shared" si="20"/>
        <v>NIG</v>
      </c>
      <c r="C63" t="str">
        <f>IFERROR(VLOOKUP(D63,'For model'!$B$4:$C$16,2,FALSE),C62)</f>
        <v>NIG</v>
      </c>
      <c r="D63" t="s">
        <v>537</v>
      </c>
      <c r="K63" s="84">
        <f ca="1">OFFSET(SourceData!$BS$4,MATCH(K59,SourceData!$BS$5:$BS$28,0),MATCH($C63,SourceData!$BT$3:$CF$3,0))</f>
        <v>835</v>
      </c>
      <c r="L63" s="84">
        <f ca="1">OFFSET(SourceData!$BS$4,MATCH(L59,SourceData!$BS$5:$BS$28,0),MATCH($C63,SourceData!$BT$3:$CF$3,0))</f>
        <v>849</v>
      </c>
      <c r="M63" s="84">
        <f ca="1">OFFSET(SourceData!$BS$4,MATCH(M59,SourceData!$BS$5:$BS$28,0),MATCH($C63,SourceData!$BT$3:$CF$3,0))</f>
        <v>912</v>
      </c>
      <c r="N63" s="84">
        <f ca="1">OFFSET(SourceData!$BS$4,MATCH(N59,SourceData!$BS$5:$BS$28,0),MATCH($C63,SourceData!$BT$3:$CF$3,0))</f>
        <v>977</v>
      </c>
      <c r="O63" s="84">
        <f ca="1">OFFSET(SourceData!$BS$4,MATCH(O59,SourceData!$BS$5:$BS$28,0),MATCH($C63,SourceData!$BT$3:$CF$3,0))</f>
        <v>1044</v>
      </c>
      <c r="P63" s="84">
        <f ca="1">OFFSET(SourceData!$BS$4,MATCH(P59,SourceData!$BS$5:$BS$28,0),MATCH($C63,SourceData!$BT$3:$CF$3,0))</f>
        <v>1235</v>
      </c>
      <c r="Q63" s="84">
        <f ca="1">OFFSET(SourceData!$BS$4,MATCH(Q59,SourceData!$BS$5:$BS$28,0),MATCH($C63,SourceData!$BT$3:$CF$3,0))</f>
        <v>1306</v>
      </c>
      <c r="R63" s="84">
        <f ca="1">OFFSET(SourceData!$BS$4,MATCH(R59,SourceData!$BS$5:$BS$28,0),MATCH($C63,SourceData!$BT$3:$CF$3,0))</f>
        <v>1379</v>
      </c>
      <c r="S63" s="84">
        <f ca="1">OFFSET(SourceData!$BS$4,MATCH(S59,SourceData!$BS$5:$BS$28,0),MATCH($C63,SourceData!$BT$3:$CF$3,0))</f>
        <v>1454</v>
      </c>
      <c r="T63" s="84">
        <f ca="1">OFFSET(SourceData!$BS$4,MATCH(T59,SourceData!$BS$5:$BS$28,0),MATCH($C63,SourceData!$BT$3:$CF$3,0))</f>
        <v>1530</v>
      </c>
      <c r="U63" s="84">
        <f ca="1">OFFSET(SourceData!$BS$4,MATCH(U59,SourceData!$BS$5:$BS$28,0),MATCH($C63,SourceData!$BT$3:$CF$3,0))</f>
        <v>1609</v>
      </c>
      <c r="V63" s="84">
        <f ca="1">OFFSET(SourceData!$BS$4,MATCH(V59,SourceData!$BS$5:$BS$28,0),MATCH($C63,SourceData!$BT$3:$CF$3,0))</f>
        <v>1691</v>
      </c>
      <c r="W63" s="84">
        <f ca="1">OFFSET(SourceData!$BS$4,MATCH(W59,SourceData!$BS$5:$BS$28,0),MATCH($C63,SourceData!$BT$3:$CF$3,0))</f>
        <v>1774</v>
      </c>
      <c r="X63" s="84">
        <f ca="1">OFFSET(SourceData!$BS$4,MATCH(X59,SourceData!$BS$5:$BS$28,0),MATCH($C63,SourceData!$BT$3:$CF$3,0))</f>
        <v>1860</v>
      </c>
      <c r="Y63" s="84">
        <f ca="1">OFFSET(SourceData!$BS$4,MATCH(Y59,SourceData!$BS$5:$BS$28,0),MATCH($C63,SourceData!$BT$3:$CF$3,0))</f>
        <v>1948</v>
      </c>
      <c r="Z63" s="84">
        <f ca="1">OFFSET(SourceData!$BS$4,MATCH(Z59,SourceData!$BS$5:$BS$28,0),MATCH($C63,SourceData!$BT$3:$CF$3,0))</f>
        <v>2039</v>
      </c>
      <c r="AA63" s="84">
        <f ca="1">OFFSET(SourceData!$BS$4,MATCH(AA59,SourceData!$BS$5:$BS$28,0),MATCH($C63,SourceData!$BT$3:$CF$3,0))</f>
        <v>2131.6307701019487</v>
      </c>
      <c r="AB63" s="84">
        <f ca="1">OFFSET(SourceData!$BS$4,MATCH(AB59,SourceData!$BS$5:$BS$28,0),MATCH($C63,SourceData!$BT$3:$CF$3,0))</f>
        <v>2226.2807264355451</v>
      </c>
      <c r="AC63" s="84">
        <f ca="1">OFFSET(SourceData!$BS$4,MATCH(AC59,SourceData!$BS$5:$BS$28,0),MATCH($C63,SourceData!$BT$3:$CF$3,0))</f>
        <v>2322.8472064426128</v>
      </c>
      <c r="AD63" s="84">
        <f ca="1">OFFSET(SourceData!$BS$4,MATCH(AD59,SourceData!$BS$5:$BS$28,0),MATCH($C63,SourceData!$BT$3:$CF$3,0))</f>
        <v>2421.2169793868584</v>
      </c>
      <c r="AE63" s="84">
        <f ca="1">OFFSET(SourceData!$BS$4,MATCH(AE59,SourceData!$BS$5:$BS$28,0),MATCH($C63,SourceData!$BT$3:$CF$3,0))</f>
        <v>2496.5611450802548</v>
      </c>
      <c r="AF63" s="84">
        <f ca="1">OFFSET(SourceData!$BS$4,MATCH(AF59,SourceData!$BS$5:$BS$28,0),MATCH($C63,SourceData!$BT$3:$CF$3,0))</f>
        <v>2599.7237600738445</v>
      </c>
      <c r="AG63" s="84">
        <f ca="1">OFFSET(SourceData!$BS$4,MATCH(AG59,SourceData!$BS$5:$BS$28,0),MATCH($C63,SourceData!$BT$3:$CF$3,0))</f>
        <v>3742.7616414953823</v>
      </c>
      <c r="AH63" s="84">
        <f ca="1">OFFSET(SourceData!$BS$4,MATCH(AH59,SourceData!$BS$5:$BS$28,0),MATCH($C63,SourceData!$BT$3:$CF$3,0))</f>
        <v>5611.0240811261592</v>
      </c>
      <c r="BP63" s="84">
        <f ca="1">SUM(BP60:BP62)</f>
        <v>835</v>
      </c>
      <c r="BQ63" s="84">
        <f t="shared" ref="BQ63" ca="1" si="2366">SUM(BQ60:BQ62)</f>
        <v>849</v>
      </c>
      <c r="BR63" s="84">
        <f t="shared" ref="BR63" ca="1" si="2367">SUM(BR60:BR62)</f>
        <v>911.99999999999989</v>
      </c>
      <c r="BS63" s="84">
        <f t="shared" ref="BS63" ca="1" si="2368">SUM(BS60:BS62)</f>
        <v>977</v>
      </c>
      <c r="BT63" s="84">
        <f t="shared" ref="BT63" ca="1" si="2369">SUM(BT60:BT62)</f>
        <v>1044</v>
      </c>
      <c r="BU63" s="84">
        <f t="shared" ref="BU63" ca="1" si="2370">SUM(BU60:BU62)</f>
        <v>1234.9999999999998</v>
      </c>
      <c r="BV63" s="84">
        <f t="shared" ref="BV63" ca="1" si="2371">SUM(BV60:BV62)</f>
        <v>1306</v>
      </c>
      <c r="BW63" s="84">
        <f t="shared" ref="BW63" ca="1" si="2372">SUM(BW60:BW62)</f>
        <v>1379</v>
      </c>
      <c r="BX63" s="84">
        <f t="shared" ref="BX63" ca="1" si="2373">SUM(BX60:BX62)</f>
        <v>1454</v>
      </c>
      <c r="BY63" s="84">
        <f t="shared" ref="BY63" ca="1" si="2374">SUM(BY60:BY62)</f>
        <v>1530</v>
      </c>
      <c r="BZ63" s="84">
        <f t="shared" ref="BZ63" ca="1" si="2375">SUM(BZ60:BZ62)</f>
        <v>1608.9999999999998</v>
      </c>
      <c r="CA63" s="84">
        <f t="shared" ref="CA63" ca="1" si="2376">SUM(CA60:CA62)</f>
        <v>1691</v>
      </c>
      <c r="CB63" s="84">
        <f t="shared" ref="CB63" ca="1" si="2377">SUM(CB60:CB62)</f>
        <v>1774.0000000000005</v>
      </c>
      <c r="CC63" s="84">
        <f t="shared" ref="CC63" ca="1" si="2378">SUM(CC60:CC62)</f>
        <v>1860</v>
      </c>
      <c r="CD63" s="84">
        <f t="shared" ref="CD63" ca="1" si="2379">SUM(CD60:CD62)</f>
        <v>1948.0000000000002</v>
      </c>
      <c r="CE63" s="84">
        <f t="shared" ref="CE63" ca="1" si="2380">SUM(CE60:CE62)</f>
        <v>2038.9999999999998</v>
      </c>
      <c r="CF63" s="84">
        <f t="shared" ref="CF63" ca="1" si="2381">SUM(CF60:CF62)</f>
        <v>2131.6307701019487</v>
      </c>
      <c r="CG63" s="84">
        <f t="shared" ref="CG63" ca="1" si="2382">SUM(CG60:CG62)</f>
        <v>2226.2807264355451</v>
      </c>
      <c r="CH63" s="84">
        <f t="shared" ref="CH63" ca="1" si="2383">SUM(CH60:CH62)</f>
        <v>2322.8472064426132</v>
      </c>
      <c r="CI63" s="84">
        <f t="shared" ref="CI63" ca="1" si="2384">SUM(CI60:CI62)</f>
        <v>2421.2169793868584</v>
      </c>
      <c r="CJ63" s="84">
        <f t="shared" ref="CJ63" ca="1" si="2385">SUM(CJ60:CJ62)</f>
        <v>2496.5611450802548</v>
      </c>
      <c r="CK63" s="84">
        <f t="shared" ref="CK63" ca="1" si="2386">SUM(CK60:CK62)</f>
        <v>2599.7237600738445</v>
      </c>
      <c r="CL63" s="84">
        <f t="shared" ref="CL63" ca="1" si="2387">SUM(CL60:CL62)</f>
        <v>3742.7616414953827</v>
      </c>
      <c r="CM63" s="84">
        <f t="shared" ref="CM63" ca="1" si="2388">SUM(CM60:CM62)</f>
        <v>5611.0240811261592</v>
      </c>
    </row>
    <row r="64" spans="1:141" x14ac:dyDescent="0.25">
      <c r="A64" t="str">
        <f t="shared" si="20"/>
        <v>NGA</v>
      </c>
      <c r="C64" t="str">
        <f>IFERROR(VLOOKUP(D64,'For model'!$B$4:$C$16,2,FALSE),C63)</f>
        <v>NGA</v>
      </c>
      <c r="D64" s="92" t="s">
        <v>81</v>
      </c>
      <c r="E64">
        <v>2010</v>
      </c>
      <c r="F64">
        <v>2015</v>
      </c>
      <c r="G64">
        <v>2020</v>
      </c>
      <c r="H64">
        <v>2030</v>
      </c>
      <c r="I64">
        <f>I59</f>
        <v>2050</v>
      </c>
      <c r="K64">
        <v>2010</v>
      </c>
      <c r="L64">
        <f>K64+1</f>
        <v>2011</v>
      </c>
      <c r="M64">
        <f t="shared" ref="M64:U64" si="2389">L64+1</f>
        <v>2012</v>
      </c>
      <c r="N64">
        <f t="shared" si="2389"/>
        <v>2013</v>
      </c>
      <c r="O64">
        <f t="shared" si="2389"/>
        <v>2014</v>
      </c>
      <c r="P64">
        <f t="shared" si="2389"/>
        <v>2015</v>
      </c>
      <c r="Q64">
        <f t="shared" si="2389"/>
        <v>2016</v>
      </c>
      <c r="R64">
        <f t="shared" si="2389"/>
        <v>2017</v>
      </c>
      <c r="S64">
        <f t="shared" si="2389"/>
        <v>2018</v>
      </c>
      <c r="T64">
        <f t="shared" si="2389"/>
        <v>2019</v>
      </c>
      <c r="U64">
        <f t="shared" si="2389"/>
        <v>2020</v>
      </c>
      <c r="V64">
        <f t="shared" ref="V64:AF64" si="2390">U64+1</f>
        <v>2021</v>
      </c>
      <c r="W64">
        <f t="shared" si="2390"/>
        <v>2022</v>
      </c>
      <c r="X64">
        <f t="shared" si="2390"/>
        <v>2023</v>
      </c>
      <c r="Y64">
        <f t="shared" si="2390"/>
        <v>2024</v>
      </c>
      <c r="Z64">
        <f t="shared" si="2390"/>
        <v>2025</v>
      </c>
      <c r="AA64">
        <f t="shared" si="2390"/>
        <v>2026</v>
      </c>
      <c r="AB64">
        <f t="shared" si="2390"/>
        <v>2027</v>
      </c>
      <c r="AC64">
        <f t="shared" si="2390"/>
        <v>2028</v>
      </c>
      <c r="AD64">
        <f t="shared" si="2390"/>
        <v>2029</v>
      </c>
      <c r="AE64">
        <f t="shared" si="2390"/>
        <v>2030</v>
      </c>
      <c r="AF64">
        <f t="shared" si="2390"/>
        <v>2031</v>
      </c>
      <c r="AG64">
        <v>2040</v>
      </c>
      <c r="AH64">
        <v>2050</v>
      </c>
      <c r="AL64">
        <f>E64</f>
        <v>2010</v>
      </c>
      <c r="AM64">
        <f>G64</f>
        <v>2020</v>
      </c>
      <c r="AN64">
        <f>H64</f>
        <v>2030</v>
      </c>
      <c r="AO64">
        <f>I64</f>
        <v>2050</v>
      </c>
      <c r="AQ64">
        <v>2010</v>
      </c>
      <c r="AR64">
        <f>AQ64+1</f>
        <v>2011</v>
      </c>
      <c r="AS64">
        <f t="shared" ref="AS64:BL64" si="2391">AR64+1</f>
        <v>2012</v>
      </c>
      <c r="AT64">
        <f t="shared" si="2391"/>
        <v>2013</v>
      </c>
      <c r="AU64">
        <f t="shared" si="2391"/>
        <v>2014</v>
      </c>
      <c r="AV64">
        <f t="shared" si="2391"/>
        <v>2015</v>
      </c>
      <c r="AW64">
        <f t="shared" si="2391"/>
        <v>2016</v>
      </c>
      <c r="AX64">
        <f t="shared" si="2391"/>
        <v>2017</v>
      </c>
      <c r="AY64">
        <f t="shared" si="2391"/>
        <v>2018</v>
      </c>
      <c r="AZ64">
        <f t="shared" si="2391"/>
        <v>2019</v>
      </c>
      <c r="BA64">
        <f t="shared" si="2391"/>
        <v>2020</v>
      </c>
      <c r="BB64">
        <f t="shared" si="2391"/>
        <v>2021</v>
      </c>
      <c r="BC64">
        <f t="shared" si="2391"/>
        <v>2022</v>
      </c>
      <c r="BD64">
        <f t="shared" si="2391"/>
        <v>2023</v>
      </c>
      <c r="BE64">
        <f t="shared" si="2391"/>
        <v>2024</v>
      </c>
      <c r="BF64">
        <f t="shared" si="2391"/>
        <v>2025</v>
      </c>
      <c r="BG64">
        <f t="shared" si="2391"/>
        <v>2026</v>
      </c>
      <c r="BH64">
        <f t="shared" si="2391"/>
        <v>2027</v>
      </c>
      <c r="BI64">
        <f t="shared" si="2391"/>
        <v>2028</v>
      </c>
      <c r="BJ64">
        <f t="shared" si="2391"/>
        <v>2029</v>
      </c>
      <c r="BK64">
        <f t="shared" si="2391"/>
        <v>2030</v>
      </c>
      <c r="BL64">
        <f t="shared" si="2391"/>
        <v>2031</v>
      </c>
      <c r="BM64">
        <v>2040</v>
      </c>
      <c r="BN64">
        <v>2050</v>
      </c>
      <c r="BP64">
        <f>AQ64</f>
        <v>2010</v>
      </c>
      <c r="BQ64">
        <f t="shared" ref="BQ64" si="2392">AR64</f>
        <v>2011</v>
      </c>
      <c r="BR64">
        <f t="shared" ref="BR64" si="2393">AS64</f>
        <v>2012</v>
      </c>
      <c r="BS64">
        <f t="shared" ref="BS64" si="2394">AT64</f>
        <v>2013</v>
      </c>
      <c r="BT64">
        <f t="shared" ref="BT64" si="2395">AU64</f>
        <v>2014</v>
      </c>
      <c r="BU64">
        <f t="shared" ref="BU64" si="2396">AV64</f>
        <v>2015</v>
      </c>
      <c r="BV64">
        <f t="shared" ref="BV64" si="2397">AW64</f>
        <v>2016</v>
      </c>
      <c r="BW64">
        <f t="shared" ref="BW64" si="2398">AX64</f>
        <v>2017</v>
      </c>
      <c r="BX64">
        <f t="shared" ref="BX64" si="2399">AY64</f>
        <v>2018</v>
      </c>
      <c r="BY64">
        <f t="shared" ref="BY64" si="2400">AZ64</f>
        <v>2019</v>
      </c>
      <c r="BZ64">
        <f t="shared" ref="BZ64" si="2401">BA64</f>
        <v>2020</v>
      </c>
      <c r="CA64">
        <f t="shared" ref="CA64" si="2402">BB64</f>
        <v>2021</v>
      </c>
      <c r="CB64">
        <f t="shared" ref="CB64" si="2403">BC64</f>
        <v>2022</v>
      </c>
      <c r="CC64">
        <f t="shared" ref="CC64" si="2404">BD64</f>
        <v>2023</v>
      </c>
      <c r="CD64">
        <f t="shared" ref="CD64" si="2405">BE64</f>
        <v>2024</v>
      </c>
      <c r="CE64">
        <f t="shared" ref="CE64" si="2406">BF64</f>
        <v>2025</v>
      </c>
      <c r="CF64">
        <f t="shared" ref="CF64" si="2407">BG64</f>
        <v>2026</v>
      </c>
      <c r="CG64">
        <f t="shared" ref="CG64" si="2408">BH64</f>
        <v>2027</v>
      </c>
      <c r="CH64">
        <f t="shared" ref="CH64" si="2409">BI64</f>
        <v>2028</v>
      </c>
      <c r="CI64">
        <f t="shared" ref="CI64" si="2410">BJ64</f>
        <v>2029</v>
      </c>
      <c r="CJ64">
        <f t="shared" ref="CJ64" si="2411">BK64</f>
        <v>2030</v>
      </c>
      <c r="CK64">
        <f t="shared" ref="CK64" si="2412">BL64</f>
        <v>2031</v>
      </c>
      <c r="CL64">
        <f t="shared" ref="CL64" si="2413">BM64</f>
        <v>2040</v>
      </c>
      <c r="CM64">
        <f t="shared" ref="CM64" si="2414">BN64</f>
        <v>2050</v>
      </c>
      <c r="CO64">
        <f>BP64</f>
        <v>2010</v>
      </c>
      <c r="CP64">
        <f t="shared" ref="CP64" si="2415">BQ64</f>
        <v>2011</v>
      </c>
      <c r="CQ64">
        <f t="shared" ref="CQ64" si="2416">BR64</f>
        <v>2012</v>
      </c>
      <c r="CR64">
        <f t="shared" ref="CR64" si="2417">BS64</f>
        <v>2013</v>
      </c>
      <c r="CS64">
        <f t="shared" ref="CS64" si="2418">BT64</f>
        <v>2014</v>
      </c>
      <c r="CT64">
        <f t="shared" ref="CT64" si="2419">BU64</f>
        <v>2015</v>
      </c>
      <c r="CU64">
        <f t="shared" ref="CU64" si="2420">BV64</f>
        <v>2016</v>
      </c>
      <c r="CV64">
        <f t="shared" ref="CV64" si="2421">BW64</f>
        <v>2017</v>
      </c>
      <c r="CW64">
        <f t="shared" ref="CW64" si="2422">BX64</f>
        <v>2018</v>
      </c>
      <c r="CX64">
        <f t="shared" ref="CX64" si="2423">BY64</f>
        <v>2019</v>
      </c>
      <c r="CY64">
        <f t="shared" ref="CY64" si="2424">BZ64</f>
        <v>2020</v>
      </c>
      <c r="CZ64">
        <f t="shared" ref="CZ64" si="2425">CA64</f>
        <v>2021</v>
      </c>
      <c r="DA64">
        <f t="shared" ref="DA64" si="2426">CB64</f>
        <v>2022</v>
      </c>
      <c r="DB64">
        <f t="shared" ref="DB64" si="2427">CC64</f>
        <v>2023</v>
      </c>
      <c r="DC64">
        <f t="shared" ref="DC64" si="2428">CD64</f>
        <v>2024</v>
      </c>
      <c r="DD64">
        <f t="shared" ref="DD64" si="2429">CE64</f>
        <v>2025</v>
      </c>
      <c r="DE64">
        <f>CF64</f>
        <v>2026</v>
      </c>
      <c r="DF64">
        <f t="shared" ref="DF64" si="2430">CG64</f>
        <v>2027</v>
      </c>
      <c r="DG64">
        <f t="shared" ref="DG64" si="2431">CH64</f>
        <v>2028</v>
      </c>
      <c r="DH64">
        <f>CI64</f>
        <v>2029</v>
      </c>
      <c r="DI64">
        <f t="shared" ref="DI64" si="2432">CJ64</f>
        <v>2030</v>
      </c>
      <c r="DJ64">
        <f>CK64</f>
        <v>2031</v>
      </c>
      <c r="DK64">
        <f>CL64</f>
        <v>2040</v>
      </c>
      <c r="DL64">
        <f t="shared" ref="DL64" si="2433">CM64</f>
        <v>2050</v>
      </c>
    </row>
    <row r="65" spans="1:141" x14ac:dyDescent="0.25">
      <c r="A65" t="str">
        <f t="shared" si="20"/>
        <v>Heavy IndustryNGA</v>
      </c>
      <c r="B65" t="str">
        <f t="shared" ref="B65:B67" si="2434">B60</f>
        <v>Heavy Industry</v>
      </c>
      <c r="C65" t="str">
        <f>IFERROR(VLOOKUP(D65,'For model'!$B$4:$C$16,2,FALSE),C64)</f>
        <v>NGA</v>
      </c>
      <c r="D65" t="s">
        <v>535</v>
      </c>
      <c r="E65" s="72">
        <v>0.1</v>
      </c>
      <c r="F65" s="72">
        <v>0.25</v>
      </c>
      <c r="G65" s="72">
        <v>0.35</v>
      </c>
      <c r="H65" s="72">
        <v>0.4</v>
      </c>
      <c r="I65" s="72">
        <v>0.4</v>
      </c>
      <c r="K65" s="72">
        <f>E65</f>
        <v>0.1</v>
      </c>
      <c r="L65" s="72">
        <f>($P65-$K65)/($P$4-$K$4)+K65</f>
        <v>0.13</v>
      </c>
      <c r="M65" s="72">
        <f t="shared" ref="M65:O65" si="2435">($P65-$K65)/($P$4-$K$4)+L65</f>
        <v>0.16</v>
      </c>
      <c r="N65" s="72">
        <f t="shared" si="2435"/>
        <v>0.19</v>
      </c>
      <c r="O65" s="72">
        <f t="shared" si="2435"/>
        <v>0.22</v>
      </c>
      <c r="P65" s="72">
        <f>F65</f>
        <v>0.25</v>
      </c>
      <c r="Q65" s="72">
        <f>($U65-$P65)/($U$4-$P$4)+P65</f>
        <v>0.27</v>
      </c>
      <c r="R65" s="72">
        <f t="shared" ref="R65:T65" si="2436">($U65-$P65)/($U$4-$P$4)+Q65</f>
        <v>0.29000000000000004</v>
      </c>
      <c r="S65" s="72">
        <f t="shared" si="2436"/>
        <v>0.31000000000000005</v>
      </c>
      <c r="T65" s="72">
        <f t="shared" si="2436"/>
        <v>0.33000000000000007</v>
      </c>
      <c r="U65" s="72">
        <f>G65</f>
        <v>0.35</v>
      </c>
      <c r="V65" s="72">
        <f>(AE65-U65)/(AE$4-U$4)+U65</f>
        <v>0.35499999999999998</v>
      </c>
      <c r="W65" s="72">
        <f>(AE65-U65)/(AE$4-U$4)+V65</f>
        <v>0.36</v>
      </c>
      <c r="X65" s="72">
        <f>(AE65-U65)/(AE$4-U$4)+W65</f>
        <v>0.36499999999999999</v>
      </c>
      <c r="Y65" s="72">
        <f>(AE65-U65)/(AE$4-U$4)+X65</f>
        <v>0.37</v>
      </c>
      <c r="Z65" s="72">
        <f>(AE65-U65)/(AE$4-U$4)+Y65</f>
        <v>0.375</v>
      </c>
      <c r="AA65" s="72">
        <f>(AE65-U65)/(AE$4-U$4)+Z65</f>
        <v>0.38</v>
      </c>
      <c r="AB65" s="72">
        <f>(AE65-U65)/(AE$4-U$4)+AA65</f>
        <v>0.38500000000000001</v>
      </c>
      <c r="AC65" s="72">
        <f>(AE65-U65)/(AE$4-U$4)+AB65</f>
        <v>0.39</v>
      </c>
      <c r="AD65" s="72">
        <f>(AE65-U65)/(AE$4-U$4)+AC65</f>
        <v>0.39500000000000002</v>
      </c>
      <c r="AE65" s="72">
        <f>H65</f>
        <v>0.4</v>
      </c>
      <c r="AF65" s="72">
        <f>(AH65-AE65)/(AH$4-AE$4)+AE65</f>
        <v>0.4</v>
      </c>
      <c r="AG65" s="72">
        <f>(AE65+AH65)/2</f>
        <v>0.4</v>
      </c>
      <c r="AH65" s="72">
        <f>I65</f>
        <v>0.4</v>
      </c>
      <c r="AJ65" s="115">
        <f ca="1">SUMIF(SourceData!$Y$3:$AK$3,$C64,SourceData!$Y$1:$AK$1)</f>
        <v>0.158</v>
      </c>
      <c r="AK65" s="72">
        <v>0.05</v>
      </c>
      <c r="AL65" s="94">
        <v>0.02</v>
      </c>
      <c r="AM65" s="72">
        <f>AL65</f>
        <v>0.02</v>
      </c>
      <c r="AN65" s="72">
        <v>0</v>
      </c>
      <c r="AO65" s="72">
        <v>0</v>
      </c>
      <c r="AP65" s="118" t="str">
        <f>AQ65&amp;" "&amp;AR65&amp;" "&amp;AS65&amp;" "&amp;AT65&amp;" "&amp;AU65&amp;" "&amp;AV65&amp;" "&amp;AW65&amp;" "&amp;AX65&amp;" "&amp;AY65&amp;" "&amp;AZ65&amp;" "&amp;BA65&amp;" "&amp;BB65&amp;" "&amp;BC65&amp;" "&amp;BD65&amp;" "&amp;BE65&amp;" "&amp;BF65&amp;" "&amp;BG65&amp;" "&amp;BH65&amp;" "&amp;BI65&amp;" "&amp;BJ65&amp;" "&amp;BK65&amp;" "&amp;BL65&amp;" "&amp;BM65&amp;" "&amp;BN65&amp;" "</f>
        <v xml:space="preserve">0.02 0.02 0.02 0.02 0.02 0.02 0.02 0.02 0.02 0.02 0.02 0.018 0.016 0.014 0.012 0.01 0.008 0.006 0.004 0.002 0 0 0 0 </v>
      </c>
      <c r="AQ65" s="72">
        <f>AL65</f>
        <v>0.02</v>
      </c>
      <c r="AR65" s="72">
        <f>(BA65-AQ65)/(BA$4-AQ$4)+AQ65</f>
        <v>0.02</v>
      </c>
      <c r="AS65" s="72">
        <f>(BA65-AQ65)/(BA$4-AQ$4)+AR65</f>
        <v>0.02</v>
      </c>
      <c r="AT65" s="72">
        <f>(BA65-AQ65)/(BA$4-AQ$4)+AS65</f>
        <v>0.02</v>
      </c>
      <c r="AU65" s="72">
        <f>(BA65-AQ65)/(BA$4-AQ$4)+AT65</f>
        <v>0.02</v>
      </c>
      <c r="AV65" s="72">
        <f>(BA65-AQ65)/(BA$4-AQ$4)+AU65</f>
        <v>0.02</v>
      </c>
      <c r="AW65" s="72">
        <f>(BA65-AQ65)/(BA$4-AQ$4)+AV65</f>
        <v>0.02</v>
      </c>
      <c r="AX65" s="72">
        <f>(BA65-AQ65)/(BA$4-AQ$4)+AW65</f>
        <v>0.02</v>
      </c>
      <c r="AY65" s="72">
        <f>(BA65-AQ65)/(BA$4-AQ$4)+AX65</f>
        <v>0.02</v>
      </c>
      <c r="AZ65" s="72">
        <f>(BA65-AQ65)/(BA$4-AQ$4)+AY65</f>
        <v>0.02</v>
      </c>
      <c r="BA65" s="72">
        <f>AM65</f>
        <v>0.02</v>
      </c>
      <c r="BB65" s="72">
        <f>(BK65-BA65)/(BK$4-BA$4)+BA65</f>
        <v>1.8000000000000002E-2</v>
      </c>
      <c r="BC65" s="72">
        <f>(BK65-BA65)/(BK$4-BA$4)+BB65</f>
        <v>1.6E-2</v>
      </c>
      <c r="BD65" s="72">
        <f>(BK65-BA65)/(BK$4-BA$4)+BC65</f>
        <v>1.4E-2</v>
      </c>
      <c r="BE65" s="72">
        <f>(BK65-BA65)/(BK$4-BA$4)+BD65</f>
        <v>1.2E-2</v>
      </c>
      <c r="BF65" s="72">
        <f>(BK65-BA65)/(BK$4-BA$4)+BE65</f>
        <v>0.01</v>
      </c>
      <c r="BG65" s="72">
        <f>(BK65-BA65)/(BK$4-BA$4)+BF65</f>
        <v>8.0000000000000002E-3</v>
      </c>
      <c r="BH65" s="72">
        <f>(BK65-BA65)/(BK$4-BA$4)+BG65</f>
        <v>6.0000000000000001E-3</v>
      </c>
      <c r="BI65" s="72">
        <f>(BK65-BA65)/(BK$4-BA$4)+BH65</f>
        <v>4.0000000000000001E-3</v>
      </c>
      <c r="BJ65" s="72">
        <f>(BK65-BA65)/(BK$4-BA$4)+BI65</f>
        <v>2E-3</v>
      </c>
      <c r="BK65" s="72">
        <f>AN65</f>
        <v>0</v>
      </c>
      <c r="BL65" s="72">
        <f>(BN65-BK65)/(BN$4-BK$4)+BK65</f>
        <v>0</v>
      </c>
      <c r="BM65" s="72">
        <f>(BK65+BN65)/2</f>
        <v>0</v>
      </c>
      <c r="BN65" s="72">
        <f>AO65</f>
        <v>0</v>
      </c>
      <c r="BO65">
        <f>SUMIF(SourceData!$BD$3:$BP$3,$C64,SourceData!$BD$1:$BP$1)</f>
        <v>0</v>
      </c>
      <c r="BP65" s="84">
        <f ca="1">IF($BO65,OFFSET(SourceData!$BC$4,MATCH(BP64,SourceData!$BC$5:$BC$28,0),MATCH($C68,SourceData!$BD$3:$BP$3,0)),K65*K68)</f>
        <v>2317.85</v>
      </c>
      <c r="BQ65" s="84">
        <f ca="1">IF($BO65,OFFSET(SourceData!$BC$4,MATCH(BQ64,SourceData!$BC$5:$BC$28,0),MATCH($C68,SourceData!$BD$3:$BP$3,0)),L65*L68)</f>
        <v>5083.26</v>
      </c>
      <c r="BR65" s="84">
        <f ca="1">IF($BO65,OFFSET(SourceData!$BC$4,MATCH(BR64,SourceData!$BC$5:$BC$28,0),MATCH($C68,SourceData!$BD$3:$BP$3,0)),M65*M68)</f>
        <v>9291.0400000000009</v>
      </c>
      <c r="BS65" s="84">
        <f ca="1">IF($BO65,OFFSET(SourceData!$BC$4,MATCH(BS64,SourceData!$BC$5:$BC$28,0),MATCH($C68,SourceData!$BD$3:$BP$3,0)),N65*N68)</f>
        <v>11650.99</v>
      </c>
      <c r="BT65" s="84">
        <f ca="1">IF($BO65,OFFSET(SourceData!$BC$4,MATCH(BT64,SourceData!$BC$5:$BC$28,0),MATCH($C68,SourceData!$BD$3:$BP$3,0)),O65*O68)</f>
        <v>14292.08</v>
      </c>
      <c r="BU65" s="84">
        <f ca="1">IF($BO65,OFFSET(SourceData!$BC$4,MATCH(BU64,SourceData!$BC$5:$BC$28,0),MATCH($C68,SourceData!$BD$3:$BP$3,0)),P65*P68)</f>
        <v>17207.5</v>
      </c>
      <c r="BV65" s="84">
        <f ca="1">IF($BO65,OFFSET(SourceData!$BC$4,MATCH(BV64,SourceData!$BC$5:$BC$28,0),MATCH($C68,SourceData!$BD$3:$BP$3,0)),Q65*Q68)</f>
        <v>19690.02</v>
      </c>
      <c r="BW65" s="84">
        <f ca="1">IF($BO65,OFFSET(SourceData!$BC$4,MATCH(BW64,SourceData!$BC$5:$BC$28,0),MATCH($C68,SourceData!$BD$3:$BP$3,0)),R65*R68)</f>
        <v>22404.820000000003</v>
      </c>
      <c r="BX65" s="84">
        <f ca="1">IF($BO65,OFFSET(SourceData!$BC$4,MATCH(BX64,SourceData!$BC$5:$BC$28,0),MATCH($C68,SourceData!$BD$3:$BP$3,0)),S65*S68)</f>
        <v>25375.360000000004</v>
      </c>
      <c r="BY65" s="84">
        <f ca="1">IF($BO65,OFFSET(SourceData!$BC$4,MATCH(BY64,SourceData!$BC$5:$BC$28,0),MATCH($C68,SourceData!$BD$3:$BP$3,0)),T65*T68)</f>
        <v>28616.610000000008</v>
      </c>
      <c r="BZ65" s="84">
        <f ca="1">IF($BO65,OFFSET(SourceData!$BC$4,MATCH(BZ64,SourceData!$BC$5:$BC$28,0),MATCH($C68,SourceData!$BD$3:$BP$3,0)),U65*U68)</f>
        <v>32155.55</v>
      </c>
      <c r="CA65" s="84">
        <f ca="1">IF($BO65,OFFSET(SourceData!$BC$4,MATCH(CA64,SourceData!$BC$5:$BC$28,0),MATCH($C68,SourceData!$BD$3:$BP$3,0)),V65*V68)</f>
        <v>35049.86</v>
      </c>
      <c r="CB65" s="84">
        <f ca="1">IF($BO65,OFFSET(SourceData!$BC$4,MATCH(CB64,SourceData!$BC$5:$BC$28,0),MATCH($C68,SourceData!$BD$3:$BP$3,0)),W65*W68)</f>
        <v>37657.439999999995</v>
      </c>
      <c r="CC65" s="84">
        <f ca="1">IF($BO65,OFFSET(SourceData!$BC$4,MATCH(CC64,SourceData!$BC$5:$BC$28,0),MATCH($C68,SourceData!$BD$3:$BP$3,0)),X65*X68)</f>
        <v>40449.665000000001</v>
      </c>
      <c r="CD65" s="84">
        <f ca="1">IF($BO65,OFFSET(SourceData!$BC$4,MATCH(CD64,SourceData!$BC$5:$BC$28,0),MATCH($C68,SourceData!$BD$3:$BP$3,0)),Y65*Y68)</f>
        <v>43442.44</v>
      </c>
      <c r="CE65" s="84">
        <f ca="1">IF($BO65,OFFSET(SourceData!$BC$4,MATCH(CE64,SourceData!$BC$5:$BC$28,0),MATCH($C68,SourceData!$BD$3:$BP$3,0)),Z65*Z68)</f>
        <v>46647.375</v>
      </c>
      <c r="CF65" s="84">
        <f ca="1">IF($BO65,OFFSET(SourceData!$BC$4,MATCH(CF64,SourceData!$BC$5:$BC$28,0),MATCH($C68,SourceData!$BD$3:$BP$3,0)),AA65*AA68)</f>
        <v>49792.546112529337</v>
      </c>
      <c r="CG65" s="84">
        <f ca="1">IF($BO65,OFFSET(SourceData!$BC$4,MATCH(CG64,SourceData!$BC$5:$BC$28,0),MATCH($C68,SourceData!$BD$3:$BP$3,0)),AB65*AB68)</f>
        <v>52987.215271535679</v>
      </c>
      <c r="CH65" s="84">
        <f ca="1">IF($BO65,OFFSET(SourceData!$BC$4,MATCH(CH64,SourceData!$BC$5:$BC$28,0),MATCH($C68,SourceData!$BD$3:$BP$3,0)),AC65*AC68)</f>
        <v>56214.169270387931</v>
      </c>
      <c r="CI65" s="84">
        <f ca="1">IF($BO65,OFFSET(SourceData!$BC$4,MATCH(CI64,SourceData!$BC$5:$BC$28,0),MATCH($C68,SourceData!$BD$3:$BP$3,0)),AD65*AD68)</f>
        <v>59454.762003285359</v>
      </c>
      <c r="CJ65" s="84">
        <f ca="1">IF($BO65,OFFSET(SourceData!$BC$4,MATCH(CJ64,SourceData!$BC$5:$BC$28,0),MATCH($C68,SourceData!$BD$3:$BP$3,0)),AE65*AE68)</f>
        <v>60892.94869432375</v>
      </c>
      <c r="CK65" s="84">
        <f ca="1">IF($BO65,OFFSET(SourceData!$BC$4,MATCH(CK64,SourceData!$BC$5:$BC$28,0),MATCH($C68,SourceData!$BD$3:$BP$3,0)),AF65*AF68)</f>
        <v>63402.914110867772</v>
      </c>
      <c r="CL65" s="84">
        <f ca="1">IF($BO65,OFFSET(SourceData!$BC$4,MATCH(CL64,SourceData!$BC$5:$BC$28,0),MATCH($C68,SourceData!$BD$3:$BP$3,0)),AG65*AG68)</f>
        <v>91198.805150532018</v>
      </c>
      <c r="CM65" s="84">
        <f ca="1">IF($BO65,OFFSET(SourceData!$BC$4,MATCH(CM64,SourceData!$BC$5:$BC$28,0),MATCH($C68,SourceData!$BD$3:$BP$3,0)),AH65*AH68)</f>
        <v>136587.6056131933</v>
      </c>
      <c r="CN65" s="118" t="str">
        <f t="shared" ref="CN65:CN67" ca="1" si="2437">CO65&amp;" "&amp;CP65&amp;" "&amp;CQ65&amp;" "&amp;CR65&amp;" "&amp;CS65&amp;" "&amp;CT65&amp;" "&amp;CU65&amp;" "&amp;CV65&amp;" "&amp;CW65&amp;" "&amp;CX65&amp;" "&amp;CY65&amp;" "&amp;CZ65&amp;" "&amp;DA65&amp;" "&amp;DB65&amp;" "&amp;DC65&amp;" "&amp;DD65&amp;" "&amp;DE65&amp;" "&amp;DF65&amp;" "&amp;DG65&amp;" "&amp;DH65&amp;" "&amp;DI65&amp;" "&amp;DJ65&amp;" "&amp;DK65&amp;" "&amp;DL65&amp;" "</f>
        <v xml:space="preserve">246.3 540.2 987.4 1238.3 1518.9 1828.8 2092.6 2381.2 2696.9 3041.3 3417.4 3732.7 4018.5 4325.3 4654.7 5008.2 5356.7 5711.9 6071.9 6434.8 6603.7 6875.9 9890.3 14812.6 </v>
      </c>
      <c r="CO65" s="117">
        <f ca="1">ROUND(BP65*(1-AQ65)*(1-$AK65)/8.76,1)</f>
        <v>246.3</v>
      </c>
      <c r="CP65" s="117">
        <f t="shared" ref="CP65:CP67" ca="1" si="2438">ROUND(BQ65*(1-AR65)*(1-$AK65)/8.76,1)</f>
        <v>540.20000000000005</v>
      </c>
      <c r="CQ65" s="117">
        <f t="shared" ref="CQ65:CQ67" ca="1" si="2439">ROUND(BR65*(1-AS65)*(1-$AK65)/8.76,1)</f>
        <v>987.4</v>
      </c>
      <c r="CR65" s="117">
        <f t="shared" ref="CR65:CR67" ca="1" si="2440">ROUND(BS65*(1-AT65)*(1-$AK65)/8.76,1)</f>
        <v>1238.3</v>
      </c>
      <c r="CS65" s="117">
        <f t="shared" ref="CS65:CS67" ca="1" si="2441">ROUND(BT65*(1-AU65)*(1-$AK65)/8.76,1)</f>
        <v>1518.9</v>
      </c>
      <c r="CT65" s="117">
        <f t="shared" ref="CT65:CT67" ca="1" si="2442">ROUND(BU65*(1-AV65)*(1-$AK65)/8.76,1)</f>
        <v>1828.8</v>
      </c>
      <c r="CU65" s="117">
        <f t="shared" ref="CU65:CU67" ca="1" si="2443">ROUND(BV65*(1-AW65)*(1-$AK65)/8.76,1)</f>
        <v>2092.6</v>
      </c>
      <c r="CV65" s="117">
        <f t="shared" ref="CV65:CV67" ca="1" si="2444">ROUND(BW65*(1-AX65)*(1-$AK65)/8.76,1)</f>
        <v>2381.1999999999998</v>
      </c>
      <c r="CW65" s="117">
        <f t="shared" ref="CW65:CW67" ca="1" si="2445">ROUND(BX65*(1-AY65)*(1-$AK65)/8.76,1)</f>
        <v>2696.9</v>
      </c>
      <c r="CX65" s="117">
        <f t="shared" ref="CX65:CX67" ca="1" si="2446">ROUND(BY65*(1-AZ65)*(1-$AK65)/8.76,1)</f>
        <v>3041.3</v>
      </c>
      <c r="CY65" s="117">
        <f t="shared" ref="CY65:CY67" ca="1" si="2447">ROUND(BZ65*(1-BA65)*(1-$AK65)/8.76,1)</f>
        <v>3417.4</v>
      </c>
      <c r="CZ65" s="117">
        <f t="shared" ref="CZ65:CZ67" ca="1" si="2448">ROUND(CA65*(1-BB65)*(1-$AK65)/8.76,1)</f>
        <v>3732.7</v>
      </c>
      <c r="DA65" s="117">
        <f t="shared" ref="DA65:DA67" ca="1" si="2449">ROUND(CB65*(1-BC65)*(1-$AK65)/8.76,1)</f>
        <v>4018.5</v>
      </c>
      <c r="DB65" s="117">
        <f t="shared" ref="DB65:DB67" ca="1" si="2450">ROUND(CC65*(1-BD65)*(1-$AK65)/8.76,1)</f>
        <v>4325.3</v>
      </c>
      <c r="DC65" s="117">
        <f t="shared" ref="DC65:DC67" ca="1" si="2451">ROUND(CD65*(1-BE65)*(1-$AK65)/8.76,1)</f>
        <v>4654.7</v>
      </c>
      <c r="DD65" s="117">
        <f t="shared" ref="DD65:DD67" ca="1" si="2452">ROUND(CE65*(1-BF65)*(1-$AK65)/8.76,1)</f>
        <v>5008.2</v>
      </c>
      <c r="DE65" s="117">
        <f ca="1">ROUND(CF65*(1-BG65)*(1-$AK65)/8.76,1)</f>
        <v>5356.7</v>
      </c>
      <c r="DF65" s="117">
        <f t="shared" ref="DF65:DF67" ca="1" si="2453">ROUND(CG65*(1-BH65)*(1-$AK65)/8.76,1)</f>
        <v>5711.9</v>
      </c>
      <c r="DG65" s="117">
        <f t="shared" ref="DG65:DG67" ca="1" si="2454">ROUND(CH65*(1-BI65)*(1-$AK65)/8.76,1)</f>
        <v>6071.9</v>
      </c>
      <c r="DH65" s="117">
        <f ca="1">ROUND(CI65*(1-BJ65)*(1-$AK65)/8.76,1)</f>
        <v>6434.8</v>
      </c>
      <c r="DI65" s="117">
        <f t="shared" ref="DI65:DI67" ca="1" si="2455">ROUND(CJ65*(1-BK65)*(1-$AK65)/8.76,1)</f>
        <v>6603.7</v>
      </c>
      <c r="DJ65" s="117">
        <f ca="1">ROUND(CK65*(1-BL65)*(1-$AK65)/8.76,1)</f>
        <v>6875.9</v>
      </c>
      <c r="DK65" s="117">
        <f ca="1">ROUND(CL65*(1-BM65)*(1-$AK65)/8.76,1)</f>
        <v>9890.2999999999993</v>
      </c>
      <c r="DL65" s="117">
        <f t="shared" ref="DL65:DL67" ca="1" si="2456">ROUND(CM65*(1-BN65)*(1-$AK65)/8.76,1)</f>
        <v>14812.6</v>
      </c>
      <c r="DM65" s="118" t="str">
        <f t="shared" ref="DM65:DM67" si="2457">DN65&amp;" "&amp;DO65&amp;" "&amp;DP65&amp;" "&amp;DQ65&amp;" "&amp;DR65&amp;" "&amp;DS65&amp;" "&amp;DT65&amp;" "&amp;DU65&amp;" "&amp;DV65&amp;" "&amp;DW65&amp;" "&amp;DX65&amp;" "&amp;DY65&amp;" "&amp;DZ65&amp;" "&amp;EA65&amp;" "&amp;EB65&amp;" "&amp;EC65&amp;" "&amp;ED65&amp;" "&amp;EE65&amp;" "&amp;EF65&amp;" "&amp;EG65&amp;" "&amp;EH65&amp;" "&amp;EI65&amp;" "&amp;EJ65&amp;" "&amp;EK65&amp;" "</f>
        <v xml:space="preserve">0.98 0.98 0.98 0.98 0.98 0.98 0.98 0.98 0.98 0.98 0.98 0.982 0.984 0.986 0.988 0.99 0.992 0.994 0.996 0.998 1 1 1 1 </v>
      </c>
      <c r="DN65" s="72">
        <f>1-AQ65</f>
        <v>0.98</v>
      </c>
      <c r="DO65" s="72">
        <f t="shared" ref="DO65:DO67" si="2458">1-AR65</f>
        <v>0.98</v>
      </c>
      <c r="DP65" s="72">
        <f t="shared" ref="DP65:DP67" si="2459">1-AS65</f>
        <v>0.98</v>
      </c>
      <c r="DQ65" s="72">
        <f t="shared" ref="DQ65:DQ67" si="2460">1-AT65</f>
        <v>0.98</v>
      </c>
      <c r="DR65" s="72">
        <f t="shared" ref="DR65:DR67" si="2461">1-AU65</f>
        <v>0.98</v>
      </c>
      <c r="DS65" s="72">
        <f t="shared" ref="DS65:DS67" si="2462">1-AV65</f>
        <v>0.98</v>
      </c>
      <c r="DT65" s="72">
        <f t="shared" ref="DT65:DT67" si="2463">1-AW65</f>
        <v>0.98</v>
      </c>
      <c r="DU65" s="72">
        <f t="shared" ref="DU65:DU67" si="2464">1-AX65</f>
        <v>0.98</v>
      </c>
      <c r="DV65" s="72">
        <f t="shared" ref="DV65:DV67" si="2465">1-AY65</f>
        <v>0.98</v>
      </c>
      <c r="DW65" s="72">
        <f t="shared" ref="DW65:DW67" si="2466">1-AZ65</f>
        <v>0.98</v>
      </c>
      <c r="DX65" s="72">
        <f t="shared" ref="DX65:DX67" si="2467">1-BA65</f>
        <v>0.98</v>
      </c>
      <c r="DY65" s="72">
        <f t="shared" ref="DY65:DY67" si="2468">1-BB65</f>
        <v>0.98199999999999998</v>
      </c>
      <c r="DZ65" s="72">
        <f t="shared" ref="DZ65:DZ67" si="2469">1-BC65</f>
        <v>0.98399999999999999</v>
      </c>
      <c r="EA65" s="72">
        <f t="shared" ref="EA65:EA67" si="2470">1-BD65</f>
        <v>0.98599999999999999</v>
      </c>
      <c r="EB65" s="72">
        <f t="shared" ref="EB65:EB67" si="2471">1-BE65</f>
        <v>0.98799999999999999</v>
      </c>
      <c r="EC65" s="72">
        <f t="shared" ref="EC65:EC67" si="2472">1-BF65</f>
        <v>0.99</v>
      </c>
      <c r="ED65" s="72">
        <f t="shared" ref="ED65:ED67" si="2473">1-BG65</f>
        <v>0.99199999999999999</v>
      </c>
      <c r="EE65" s="72">
        <f t="shared" ref="EE65:EE67" si="2474">1-BH65</f>
        <v>0.99399999999999999</v>
      </c>
      <c r="EF65" s="72">
        <f t="shared" ref="EF65:EF67" si="2475">1-BI65</f>
        <v>0.996</v>
      </c>
      <c r="EG65" s="72">
        <f t="shared" ref="EG65:EG67" si="2476">1-BJ65</f>
        <v>0.998</v>
      </c>
      <c r="EH65" s="72">
        <f t="shared" ref="EH65:EH67" si="2477">1-BK65</f>
        <v>1</v>
      </c>
      <c r="EI65" s="72">
        <f t="shared" ref="EI65:EI67" si="2478">1-BL65</f>
        <v>1</v>
      </c>
      <c r="EJ65" s="72">
        <f t="shared" ref="EJ65:EJ67" si="2479">1-BM65</f>
        <v>1</v>
      </c>
      <c r="EK65" s="72">
        <f t="shared" ref="EK65:EK67" si="2480">1-BN65</f>
        <v>1</v>
      </c>
    </row>
    <row r="66" spans="1:141" x14ac:dyDescent="0.25">
      <c r="A66" t="str">
        <f t="shared" si="20"/>
        <v>UrbanNGA</v>
      </c>
      <c r="B66" t="str">
        <f t="shared" si="2434"/>
        <v>Urban</v>
      </c>
      <c r="C66" t="str">
        <f>IFERROR(VLOOKUP(D66,'For model'!$B$4:$C$16,2,FALSE),C65)</f>
        <v>NGA</v>
      </c>
      <c r="D66" t="s">
        <v>536</v>
      </c>
      <c r="E66" s="72">
        <f>1-E65-E67</f>
        <v>0.88</v>
      </c>
      <c r="F66" s="72">
        <f>1-F65-F67</f>
        <v>0.72</v>
      </c>
      <c r="G66" s="72">
        <f t="shared" ref="G66:H66" si="2481">1-G65-G67</f>
        <v>0.6</v>
      </c>
      <c r="H66" s="72">
        <f t="shared" si="2481"/>
        <v>0.5</v>
      </c>
      <c r="I66" s="72">
        <f t="shared" ref="I66" si="2482">1-I65-I67</f>
        <v>0.5</v>
      </c>
      <c r="K66" s="72">
        <f t="shared" ref="K66:K67" si="2483">E66</f>
        <v>0.88</v>
      </c>
      <c r="L66" s="72">
        <f t="shared" ref="L66:O66" si="2484">($P66-$K66)/($P$4-$K$4)+K66</f>
        <v>0.84799999999999998</v>
      </c>
      <c r="M66" s="72">
        <f t="shared" si="2484"/>
        <v>0.81599999999999995</v>
      </c>
      <c r="N66" s="72">
        <f t="shared" si="2484"/>
        <v>0.78399999999999992</v>
      </c>
      <c r="O66" s="72">
        <f t="shared" si="2484"/>
        <v>0.75199999999999989</v>
      </c>
      <c r="P66" s="72">
        <f t="shared" ref="P66:P67" si="2485">F66</f>
        <v>0.72</v>
      </c>
      <c r="Q66" s="72">
        <f t="shared" ref="Q66:T66" si="2486">($U66-$P66)/($U$4-$P$4)+P66</f>
        <v>0.69599999999999995</v>
      </c>
      <c r="R66" s="72">
        <f t="shared" si="2486"/>
        <v>0.67199999999999993</v>
      </c>
      <c r="S66" s="72">
        <f t="shared" si="2486"/>
        <v>0.64799999999999991</v>
      </c>
      <c r="T66" s="72">
        <f t="shared" si="2486"/>
        <v>0.62399999999999989</v>
      </c>
      <c r="U66" s="72">
        <f t="shared" ref="U66:U67" si="2487">G66</f>
        <v>0.6</v>
      </c>
      <c r="V66" s="72">
        <f t="shared" ref="V66:V67" si="2488">(AE66-U66)/(AE$4-U$4)+U66</f>
        <v>0.59</v>
      </c>
      <c r="W66" s="72">
        <f t="shared" ref="W66:W67" si="2489">(AE66-U66)/(AE$4-U$4)+V66</f>
        <v>0.57999999999999996</v>
      </c>
      <c r="X66" s="72">
        <f t="shared" ref="X66:X67" si="2490">(AE66-U66)/(AE$4-U$4)+W66</f>
        <v>0.56999999999999995</v>
      </c>
      <c r="Y66" s="72">
        <f t="shared" ref="Y66:Y67" si="2491">(AE66-U66)/(AE$4-U$4)+X66</f>
        <v>0.55999999999999994</v>
      </c>
      <c r="Z66" s="72">
        <f t="shared" ref="Z66:Z67" si="2492">(AE66-U66)/(AE$4-U$4)+Y66</f>
        <v>0.54999999999999993</v>
      </c>
      <c r="AA66" s="72">
        <f t="shared" ref="AA66:AA67" si="2493">(AE66-U66)/(AE$4-U$4)+Z66</f>
        <v>0.53999999999999992</v>
      </c>
      <c r="AB66" s="72">
        <f t="shared" ref="AB66:AB67" si="2494">(AE66-U66)/(AE$4-U$4)+AA66</f>
        <v>0.52999999999999992</v>
      </c>
      <c r="AC66" s="72">
        <f t="shared" ref="AC66:AC67" si="2495">(AE66-U66)/(AE$4-U$4)+AB66</f>
        <v>0.51999999999999991</v>
      </c>
      <c r="AD66" s="72">
        <f t="shared" ref="AD66:AD67" si="2496">(AE66-U66)/(AE$4-U$4)+AC66</f>
        <v>0.5099999999999999</v>
      </c>
      <c r="AE66" s="72">
        <f t="shared" ref="AE66:AE67" si="2497">H66</f>
        <v>0.5</v>
      </c>
      <c r="AF66" s="72">
        <f>(AH66-AE66)/(AH$4-AE$4)+AE66</f>
        <v>0.5</v>
      </c>
      <c r="AG66" s="72">
        <f t="shared" ref="AG66:AG67" si="2498">(AE66+AH66)/2</f>
        <v>0.5</v>
      </c>
      <c r="AH66" s="72">
        <f>I66</f>
        <v>0.5</v>
      </c>
      <c r="AJ66" s="72" t="s">
        <v>548</v>
      </c>
      <c r="AK66" s="72">
        <f>AK65</f>
        <v>0.05</v>
      </c>
      <c r="AL66" s="111">
        <v>0.12</v>
      </c>
      <c r="AM66" s="72">
        <v>0.1</v>
      </c>
      <c r="AN66" s="72">
        <v>0.08</v>
      </c>
      <c r="AO66" s="72">
        <f>AN66</f>
        <v>0.08</v>
      </c>
      <c r="AP66" s="118" t="str">
        <f>AQ66&amp;" "&amp;AR66&amp;" "&amp;AS66&amp;" "&amp;AT66&amp;" "&amp;AU66&amp;" "&amp;AV66&amp;" "&amp;AW66&amp;" "&amp;AX66&amp;" "&amp;AY66&amp;" "&amp;AZ66&amp;" "&amp;BA66&amp;" "&amp;BB66&amp;" "&amp;BC66&amp;" "&amp;BD66&amp;" "&amp;BE66&amp;" "&amp;BF66&amp;" "&amp;BG66&amp;" "&amp;BH66&amp;" "&amp;BI66&amp;" "&amp;BJ66&amp;" "&amp;BK66&amp;" "&amp;BL66&amp;" "&amp;BM66&amp;" "&amp;BN66&amp;" "</f>
        <v xml:space="preserve">0.12 0.118 0.116 0.114 0.112 0.11 0.108 0.106 0.104 0.102 0.1 0.098 0.096 0.094 0.092 0.09 0.088 0.086 0.084 0.082 0.08 0.08 0.08 0.08 </v>
      </c>
      <c r="AQ66" s="72">
        <f t="shared" ref="AQ66:AQ67" si="2499">AL66</f>
        <v>0.12</v>
      </c>
      <c r="AR66" s="72">
        <f t="shared" ref="AR66:AR67" si="2500">(BA66-AQ66)/(BA$4-AQ$4)+AQ66</f>
        <v>0.11799999999999999</v>
      </c>
      <c r="AS66" s="72">
        <f t="shared" ref="AS66:AS67" si="2501">(BA66-AQ66)/(BA$4-AQ$4)+AR66</f>
        <v>0.11599999999999999</v>
      </c>
      <c r="AT66" s="72">
        <f t="shared" ref="AT66:AT67" si="2502">(BA66-AQ66)/(BA$4-AQ$4)+AS66</f>
        <v>0.11399999999999999</v>
      </c>
      <c r="AU66" s="72">
        <f t="shared" ref="AU66:AU67" si="2503">(BA66-AQ66)/(BA$4-AQ$4)+AT66</f>
        <v>0.11199999999999999</v>
      </c>
      <c r="AV66" s="72">
        <f t="shared" ref="AV66:AV67" si="2504">(BA66-AQ66)/(BA$4-AQ$4)+AU66</f>
        <v>0.10999999999999999</v>
      </c>
      <c r="AW66" s="72">
        <f t="shared" ref="AW66:AW67" si="2505">(BA66-AQ66)/(BA$4-AQ$4)+AV66</f>
        <v>0.10799999999999998</v>
      </c>
      <c r="AX66" s="72">
        <f t="shared" ref="AX66:AX67" si="2506">(BA66-AQ66)/(BA$4-AQ$4)+AW66</f>
        <v>0.10599999999999998</v>
      </c>
      <c r="AY66" s="72">
        <f t="shared" ref="AY66:AY67" si="2507">(BA66-AQ66)/(BA$4-AQ$4)+AX66</f>
        <v>0.10399999999999998</v>
      </c>
      <c r="AZ66" s="72">
        <f t="shared" ref="AZ66:AZ67" si="2508">(BA66-AQ66)/(BA$4-AQ$4)+AY66</f>
        <v>0.10199999999999998</v>
      </c>
      <c r="BA66" s="72">
        <f t="shared" ref="BA66:BA67" si="2509">AM66</f>
        <v>0.1</v>
      </c>
      <c r="BB66" s="72">
        <f t="shared" ref="BB66:BB67" si="2510">(BK66-BA66)/(BK$4-BA$4)+BA66</f>
        <v>9.8000000000000004E-2</v>
      </c>
      <c r="BC66" s="72">
        <f t="shared" ref="BC66:BC67" si="2511">(BK66-BA66)/(BK$4-BA$4)+BB66</f>
        <v>9.6000000000000002E-2</v>
      </c>
      <c r="BD66" s="72">
        <f t="shared" ref="BD66:BD67" si="2512">(BK66-BA66)/(BK$4-BA$4)+BC66</f>
        <v>9.4E-2</v>
      </c>
      <c r="BE66" s="72">
        <f t="shared" ref="BE66:BE67" si="2513">(BK66-BA66)/(BK$4-BA$4)+BD66</f>
        <v>9.1999999999999998E-2</v>
      </c>
      <c r="BF66" s="72">
        <f t="shared" ref="BF66:BF67" si="2514">(BK66-BA66)/(BK$4-BA$4)+BE66</f>
        <v>0.09</v>
      </c>
      <c r="BG66" s="72">
        <f t="shared" ref="BG66:BG67" si="2515">(BK66-BA66)/(BK$4-BA$4)+BF66</f>
        <v>8.7999999999999995E-2</v>
      </c>
      <c r="BH66" s="72">
        <f t="shared" ref="BH66:BH67" si="2516">(BK66-BA66)/(BK$4-BA$4)+BG66</f>
        <v>8.5999999999999993E-2</v>
      </c>
      <c r="BI66" s="72">
        <f t="shared" ref="BI66:BI67" si="2517">(BK66-BA66)/(BK$4-BA$4)+BH66</f>
        <v>8.3999999999999991E-2</v>
      </c>
      <c r="BJ66" s="72">
        <f t="shared" ref="BJ66:BJ67" si="2518">(BK66-BA66)/(BK$4-BA$4)+BI66</f>
        <v>8.199999999999999E-2</v>
      </c>
      <c r="BK66" s="72">
        <f t="shared" ref="BK66:BK67" si="2519">AN66</f>
        <v>0.08</v>
      </c>
      <c r="BL66" s="72">
        <f>(BN66-BK66)/(BN$4-BK$4)+BK66</f>
        <v>0.08</v>
      </c>
      <c r="BM66" s="72">
        <f t="shared" ref="BM66:BM67" si="2520">(BK66+BN66)/2</f>
        <v>0.08</v>
      </c>
      <c r="BN66" s="72">
        <f>AO66</f>
        <v>0.08</v>
      </c>
      <c r="BP66" s="84">
        <f ca="1">K66/(K66+K67)*(K68-BP65)</f>
        <v>20397.080000000002</v>
      </c>
      <c r="BQ66" s="84">
        <f t="shared" ref="BQ66" ca="1" si="2521">L66/(L66+L67)*(L68-BQ65)</f>
        <v>33158.495999999999</v>
      </c>
      <c r="BR66" s="84">
        <f t="shared" ref="BR66" ca="1" si="2522">M66/(M66+M67)*(M68-BR65)</f>
        <v>47384.303999999996</v>
      </c>
      <c r="BS66" s="84">
        <f t="shared" ref="BS66" ca="1" si="2523">N66/(N66+N67)*(N68-BS65)</f>
        <v>48075.664000000004</v>
      </c>
      <c r="BT66" s="84">
        <f t="shared" ref="BT66" ca="1" si="2524">O66/(O66+O67)*(O68-BT65)</f>
        <v>48852.928</v>
      </c>
      <c r="BU66" s="84">
        <f t="shared" ref="BU66" ca="1" si="2525">P66/(P66+P67)*(P68-BU65)</f>
        <v>49557.599999999999</v>
      </c>
      <c r="BV66" s="84">
        <f t="shared" ref="BV66" ca="1" si="2526">Q66/(Q66+Q67)*(Q68-BV65)</f>
        <v>50756.495999999992</v>
      </c>
      <c r="BW66" s="84">
        <f t="shared" ref="BW66" ca="1" si="2527">R66/(R66+R67)*(R68-BW65)</f>
        <v>51917.375999999989</v>
      </c>
      <c r="BX66" s="84">
        <f t="shared" ref="BX66" ca="1" si="2528">S66/(S66+S67)*(S68-BX65)</f>
        <v>53042.687999999995</v>
      </c>
      <c r="BY66" s="84">
        <f t="shared" ref="BY66" ca="1" si="2529">T66/(T66+T67)*(T68-BY65)</f>
        <v>54111.407999999989</v>
      </c>
      <c r="BZ66" s="84">
        <f t="shared" ref="BZ66" ca="1" si="2530">U66/(U66+U67)*(U68-BZ65)</f>
        <v>55123.799999999996</v>
      </c>
      <c r="CA66" s="84">
        <f t="shared" ref="CA66" ca="1" si="2531">V66/(V66+V67)*(V68-CA65)</f>
        <v>58251.88</v>
      </c>
      <c r="CB66" s="84">
        <f t="shared" ref="CB66" ca="1" si="2532">W66/(W66+W67)*(W68-CB65)</f>
        <v>60670.320000000007</v>
      </c>
      <c r="CC66" s="84">
        <f t="shared" ref="CC66" ca="1" si="2533">X66/(X66+X67)*(X68-CC65)</f>
        <v>63167.969999999987</v>
      </c>
      <c r="CD66" s="84">
        <f t="shared" ref="CD66" ca="1" si="2534">Y66/(Y66+Y67)*(Y68-CD65)</f>
        <v>65750.720000000001</v>
      </c>
      <c r="CE66" s="84">
        <f t="shared" ref="CE66" ca="1" si="2535">Z66/(Z66+Z67)*(Z68-CE65)</f>
        <v>68416.149999999994</v>
      </c>
      <c r="CF66" s="84">
        <f t="shared" ref="CF66" ca="1" si="2536">AA66/(AA66+AA67)*(AA68-CF65)</f>
        <v>70757.828686225897</v>
      </c>
      <c r="CG66" s="84">
        <f t="shared" ref="CG66" ca="1" si="2537">AB66/(AB66+AB67)*(AB68-CG65)</f>
        <v>72943.439204971175</v>
      </c>
      <c r="CH66" s="84">
        <f t="shared" ref="CH66" ca="1" si="2538">AC66/(AC66+AC67)*(AC68-CH65)</f>
        <v>74952.22569385056</v>
      </c>
      <c r="CI66" s="84">
        <f t="shared" ref="CI66" ca="1" si="2539">AD66/(AD66+AD67)*(AD68-CI65)</f>
        <v>76764.376257406402</v>
      </c>
      <c r="CJ66" s="84">
        <f t="shared" ref="CJ66" ca="1" si="2540">AE66/(AE66+AE67)*(AE68-CJ65)</f>
        <v>76116.1858679047</v>
      </c>
      <c r="CK66" s="84">
        <f t="shared" ref="CK66" ca="1" si="2541">AF66/(AF66+AF67)*(AF68-CK65)</f>
        <v>79253.642638584715</v>
      </c>
      <c r="CL66" s="84">
        <f t="shared" ref="CL66" ca="1" si="2542">AG66/(AG66+AG67)*(AG68-CL65)</f>
        <v>113998.50643816502</v>
      </c>
      <c r="CM66" s="84">
        <f t="shared" ref="CM66" ca="1" si="2543">AH66/(AH66+AH67)*(AH68-CM65)</f>
        <v>170734.50701649161</v>
      </c>
      <c r="CN66" s="118" t="str">
        <f t="shared" ca="1" si="2437"/>
        <v xml:space="preserve">1946.6 3171.6 4542.6 4619.3 4704.6 4783.2 4909.9 5033.5 5154.1 5269.7 5380.2 5698.2 5947.9 6206.5 6474.5 6751.8 6998.2 7230.2 7445.6 7642.3 7594.2 7907.3 11373.8 17034.5 </v>
      </c>
      <c r="CO66" s="117">
        <f t="shared" ref="CO66:CO67" ca="1" si="2544">ROUND(BP66*(1-AQ66)*(1-$AK66)/8.76,1)</f>
        <v>1946.6</v>
      </c>
      <c r="CP66" s="117">
        <f t="shared" ca="1" si="2438"/>
        <v>3171.6</v>
      </c>
      <c r="CQ66" s="117">
        <f t="shared" ca="1" si="2439"/>
        <v>4542.6000000000004</v>
      </c>
      <c r="CR66" s="117">
        <f t="shared" ca="1" si="2440"/>
        <v>4619.3</v>
      </c>
      <c r="CS66" s="117">
        <f t="shared" ca="1" si="2441"/>
        <v>4704.6000000000004</v>
      </c>
      <c r="CT66" s="117">
        <f t="shared" ca="1" si="2442"/>
        <v>4783.2</v>
      </c>
      <c r="CU66" s="117">
        <f t="shared" ca="1" si="2443"/>
        <v>4909.8999999999996</v>
      </c>
      <c r="CV66" s="117">
        <f t="shared" ca="1" si="2444"/>
        <v>5033.5</v>
      </c>
      <c r="CW66" s="117">
        <f t="shared" ca="1" si="2445"/>
        <v>5154.1000000000004</v>
      </c>
      <c r="CX66" s="117">
        <f t="shared" ca="1" si="2446"/>
        <v>5269.7</v>
      </c>
      <c r="CY66" s="117">
        <f t="shared" ca="1" si="2447"/>
        <v>5380.2</v>
      </c>
      <c r="CZ66" s="117">
        <f t="shared" ca="1" si="2448"/>
        <v>5698.2</v>
      </c>
      <c r="DA66" s="117">
        <f t="shared" ca="1" si="2449"/>
        <v>5947.9</v>
      </c>
      <c r="DB66" s="117">
        <f t="shared" ca="1" si="2450"/>
        <v>6206.5</v>
      </c>
      <c r="DC66" s="117">
        <f t="shared" ca="1" si="2451"/>
        <v>6474.5</v>
      </c>
      <c r="DD66" s="117">
        <f t="shared" ca="1" si="2452"/>
        <v>6751.8</v>
      </c>
      <c r="DE66" s="117">
        <f t="shared" ref="DE66:DE67" ca="1" si="2545">ROUND(CF66*(1-BG66)*(1-$AK66)/8.76,1)</f>
        <v>6998.2</v>
      </c>
      <c r="DF66" s="117">
        <f t="shared" ca="1" si="2453"/>
        <v>7230.2</v>
      </c>
      <c r="DG66" s="117">
        <f t="shared" ca="1" si="2454"/>
        <v>7445.6</v>
      </c>
      <c r="DH66" s="117">
        <f t="shared" ref="DH66:DH67" ca="1" si="2546">ROUND(CI66*(1-BJ66)*(1-$AK66)/8.76,1)</f>
        <v>7642.3</v>
      </c>
      <c r="DI66" s="117">
        <f t="shared" ca="1" si="2455"/>
        <v>7594.2</v>
      </c>
      <c r="DJ66" s="117">
        <f t="shared" ref="DJ66:DJ67" ca="1" si="2547">ROUND(CK66*(1-BL66)*(1-$AK66)/8.76,1)</f>
        <v>7907.3</v>
      </c>
      <c r="DK66" s="117">
        <f t="shared" ref="DK66:DK67" ca="1" si="2548">ROUND(CL66*(1-BM66)*(1-$AK66)/8.76,1)</f>
        <v>11373.8</v>
      </c>
      <c r="DL66" s="117">
        <f t="shared" ca="1" si="2456"/>
        <v>17034.5</v>
      </c>
      <c r="DM66" s="118" t="str">
        <f t="shared" si="2457"/>
        <v xml:space="preserve">0.88 0.882 0.884 0.886 0.888 0.89 0.892 0.894 0.896 0.898 0.9 0.902 0.904 0.906 0.908 0.91 0.912 0.914 0.916 0.918 0.92 0.92 0.92 0.92 </v>
      </c>
      <c r="DN66" s="72">
        <f t="shared" ref="DN66:DN67" si="2549">1-AQ66</f>
        <v>0.88</v>
      </c>
      <c r="DO66" s="72">
        <f t="shared" si="2458"/>
        <v>0.88200000000000001</v>
      </c>
      <c r="DP66" s="72">
        <f t="shared" si="2459"/>
        <v>0.88400000000000001</v>
      </c>
      <c r="DQ66" s="72">
        <f t="shared" si="2460"/>
        <v>0.88600000000000001</v>
      </c>
      <c r="DR66" s="72">
        <f t="shared" si="2461"/>
        <v>0.88800000000000001</v>
      </c>
      <c r="DS66" s="72">
        <f t="shared" si="2462"/>
        <v>0.89</v>
      </c>
      <c r="DT66" s="72">
        <f t="shared" si="2463"/>
        <v>0.89200000000000002</v>
      </c>
      <c r="DU66" s="72">
        <f t="shared" si="2464"/>
        <v>0.89400000000000002</v>
      </c>
      <c r="DV66" s="72">
        <f t="shared" si="2465"/>
        <v>0.89600000000000002</v>
      </c>
      <c r="DW66" s="72">
        <f t="shared" si="2466"/>
        <v>0.89800000000000002</v>
      </c>
      <c r="DX66" s="72">
        <f t="shared" si="2467"/>
        <v>0.9</v>
      </c>
      <c r="DY66" s="72">
        <f t="shared" si="2468"/>
        <v>0.90200000000000002</v>
      </c>
      <c r="DZ66" s="72">
        <f t="shared" si="2469"/>
        <v>0.90400000000000003</v>
      </c>
      <c r="EA66" s="72">
        <f t="shared" si="2470"/>
        <v>0.90600000000000003</v>
      </c>
      <c r="EB66" s="72">
        <f t="shared" si="2471"/>
        <v>0.90800000000000003</v>
      </c>
      <c r="EC66" s="72">
        <f t="shared" si="2472"/>
        <v>0.91</v>
      </c>
      <c r="ED66" s="72">
        <f t="shared" si="2473"/>
        <v>0.91200000000000003</v>
      </c>
      <c r="EE66" s="72">
        <f t="shared" si="2474"/>
        <v>0.91400000000000003</v>
      </c>
      <c r="EF66" s="72">
        <f t="shared" si="2475"/>
        <v>0.91600000000000004</v>
      </c>
      <c r="EG66" s="72">
        <f t="shared" si="2476"/>
        <v>0.91800000000000004</v>
      </c>
      <c r="EH66" s="72">
        <f t="shared" si="2477"/>
        <v>0.92</v>
      </c>
      <c r="EI66" s="72">
        <f t="shared" si="2478"/>
        <v>0.92</v>
      </c>
      <c r="EJ66" s="72">
        <f t="shared" si="2479"/>
        <v>0.92</v>
      </c>
      <c r="EK66" s="72">
        <f t="shared" si="2480"/>
        <v>0.92</v>
      </c>
    </row>
    <row r="67" spans="1:141" x14ac:dyDescent="0.25">
      <c r="A67" t="str">
        <f t="shared" si="20"/>
        <v>RuralNGA</v>
      </c>
      <c r="B67" t="str">
        <f t="shared" si="2434"/>
        <v>Rural</v>
      </c>
      <c r="C67" t="str">
        <f>IFERROR(VLOOKUP(D67,'For model'!$B$4:$C$16,2,FALSE),C66)</f>
        <v>NGA</v>
      </c>
      <c r="D67" t="s">
        <v>518</v>
      </c>
      <c r="E67" s="72">
        <v>0.02</v>
      </c>
      <c r="F67" s="72">
        <v>0.03</v>
      </c>
      <c r="G67" s="72">
        <v>0.05</v>
      </c>
      <c r="H67" s="72">
        <v>0.1</v>
      </c>
      <c r="I67" s="72">
        <f>H67</f>
        <v>0.1</v>
      </c>
      <c r="K67" s="72">
        <f t="shared" si="2483"/>
        <v>0.02</v>
      </c>
      <c r="L67" s="72">
        <f t="shared" ref="L67:O67" si="2550">($P67-$K67)/($P$4-$K$4)+K67</f>
        <v>2.1999999999999999E-2</v>
      </c>
      <c r="M67" s="72">
        <f t="shared" si="2550"/>
        <v>2.3999999999999997E-2</v>
      </c>
      <c r="N67" s="72">
        <f t="shared" si="2550"/>
        <v>2.5999999999999995E-2</v>
      </c>
      <c r="O67" s="72">
        <f t="shared" si="2550"/>
        <v>2.7999999999999994E-2</v>
      </c>
      <c r="P67" s="72">
        <f t="shared" si="2485"/>
        <v>0.03</v>
      </c>
      <c r="Q67" s="72">
        <f t="shared" ref="Q67:T67" si="2551">($U67-$P67)/($U$4-$P$4)+P67</f>
        <v>3.4000000000000002E-2</v>
      </c>
      <c r="R67" s="72">
        <f t="shared" si="2551"/>
        <v>3.8000000000000006E-2</v>
      </c>
      <c r="S67" s="72">
        <f t="shared" si="2551"/>
        <v>4.200000000000001E-2</v>
      </c>
      <c r="T67" s="72">
        <f t="shared" si="2551"/>
        <v>4.6000000000000013E-2</v>
      </c>
      <c r="U67" s="72">
        <f t="shared" si="2487"/>
        <v>0.05</v>
      </c>
      <c r="V67" s="72">
        <f t="shared" si="2488"/>
        <v>5.5E-2</v>
      </c>
      <c r="W67" s="72">
        <f t="shared" si="2489"/>
        <v>0.06</v>
      </c>
      <c r="X67" s="72">
        <f t="shared" si="2490"/>
        <v>6.5000000000000002E-2</v>
      </c>
      <c r="Y67" s="72">
        <f t="shared" si="2491"/>
        <v>7.0000000000000007E-2</v>
      </c>
      <c r="Z67" s="72">
        <f t="shared" si="2492"/>
        <v>7.5000000000000011E-2</v>
      </c>
      <c r="AA67" s="72">
        <f t="shared" si="2493"/>
        <v>8.0000000000000016E-2</v>
      </c>
      <c r="AB67" s="72">
        <f t="shared" si="2494"/>
        <v>8.500000000000002E-2</v>
      </c>
      <c r="AC67" s="72">
        <f t="shared" si="2495"/>
        <v>9.0000000000000024E-2</v>
      </c>
      <c r="AD67" s="72">
        <f t="shared" si="2496"/>
        <v>9.5000000000000029E-2</v>
      </c>
      <c r="AE67" s="72">
        <f t="shared" si="2497"/>
        <v>0.1</v>
      </c>
      <c r="AF67" s="72">
        <f>(AH67-AE67)/(AH$4-AE$4)+AE67</f>
        <v>0.1</v>
      </c>
      <c r="AG67" s="72">
        <f t="shared" si="2498"/>
        <v>0.1</v>
      </c>
      <c r="AH67" s="72">
        <f>I67</f>
        <v>0.1</v>
      </c>
      <c r="AJ67" s="116">
        <f>1-((1-AL67)*K67+(1-AL66)*K66+(1-AL65)*K65)*(1-AK65)</f>
        <v>0.15792000000000006</v>
      </c>
      <c r="AK67" s="72">
        <f>AK66</f>
        <v>0.05</v>
      </c>
      <c r="AL67" s="72">
        <v>0.3</v>
      </c>
      <c r="AM67" s="72">
        <v>0.2</v>
      </c>
      <c r="AN67" s="72">
        <v>0.2</v>
      </c>
      <c r="AO67" s="72">
        <f>AN67</f>
        <v>0.2</v>
      </c>
      <c r="AP67" s="118" t="str">
        <f>AQ67&amp;" "&amp;AR67&amp;" "&amp;AS67&amp;" "&amp;AT67&amp;" "&amp;AU67&amp;" "&amp;AV67&amp;" "&amp;AW67&amp;" "&amp;AX67&amp;" "&amp;AY67&amp;" "&amp;AZ67&amp;" "&amp;BA67&amp;" "&amp;BB67&amp;" "&amp;BC67&amp;" "&amp;BD67&amp;" "&amp;BE67&amp;" "&amp;BF67&amp;" "&amp;BG67&amp;" "&amp;BH67&amp;" "&amp;BI67&amp;" "&amp;BJ67&amp;" "&amp;BK67&amp;" "&amp;BL67&amp;" "&amp;BM67&amp;" "&amp;BN67&amp;" "</f>
        <v xml:space="preserve">0.3 0.29 0.28 0.27 0.26 0.25 0.24 0.23 0.22 0.21 0.2 0.2 0.2 0.2 0.2 0.2 0.2 0.2 0.2 0.2 0.2 0.2 0.2 0.2 </v>
      </c>
      <c r="AQ67" s="72">
        <f t="shared" si="2499"/>
        <v>0.3</v>
      </c>
      <c r="AR67" s="72">
        <f t="shared" si="2500"/>
        <v>0.28999999999999998</v>
      </c>
      <c r="AS67" s="72">
        <f t="shared" si="2501"/>
        <v>0.27999999999999997</v>
      </c>
      <c r="AT67" s="72">
        <f t="shared" si="2502"/>
        <v>0.26999999999999996</v>
      </c>
      <c r="AU67" s="72">
        <f t="shared" si="2503"/>
        <v>0.25999999999999995</v>
      </c>
      <c r="AV67" s="72">
        <f t="shared" si="2504"/>
        <v>0.24999999999999994</v>
      </c>
      <c r="AW67" s="72">
        <f t="shared" si="2505"/>
        <v>0.23999999999999994</v>
      </c>
      <c r="AX67" s="72">
        <f t="shared" si="2506"/>
        <v>0.22999999999999993</v>
      </c>
      <c r="AY67" s="72">
        <f t="shared" si="2507"/>
        <v>0.21999999999999992</v>
      </c>
      <c r="AZ67" s="72">
        <f t="shared" si="2508"/>
        <v>0.20999999999999991</v>
      </c>
      <c r="BA67" s="72">
        <f t="shared" si="2509"/>
        <v>0.2</v>
      </c>
      <c r="BB67" s="72">
        <f t="shared" si="2510"/>
        <v>0.2</v>
      </c>
      <c r="BC67" s="72">
        <f t="shared" si="2511"/>
        <v>0.2</v>
      </c>
      <c r="BD67" s="72">
        <f t="shared" si="2512"/>
        <v>0.2</v>
      </c>
      <c r="BE67" s="72">
        <f t="shared" si="2513"/>
        <v>0.2</v>
      </c>
      <c r="BF67" s="72">
        <f t="shared" si="2514"/>
        <v>0.2</v>
      </c>
      <c r="BG67" s="72">
        <f t="shared" si="2515"/>
        <v>0.2</v>
      </c>
      <c r="BH67" s="72">
        <f t="shared" si="2516"/>
        <v>0.2</v>
      </c>
      <c r="BI67" s="72">
        <f t="shared" si="2517"/>
        <v>0.2</v>
      </c>
      <c r="BJ67" s="72">
        <f t="shared" si="2518"/>
        <v>0.2</v>
      </c>
      <c r="BK67" s="72">
        <f t="shared" si="2519"/>
        <v>0.2</v>
      </c>
      <c r="BL67" s="72">
        <f>(BN67-BK67)/(BN$4-BK$4)+BK67</f>
        <v>0.2</v>
      </c>
      <c r="BM67" s="72">
        <f t="shared" si="2520"/>
        <v>0.2</v>
      </c>
      <c r="BN67" s="72">
        <f>AO67</f>
        <v>0.2</v>
      </c>
      <c r="BP67" s="84">
        <f ca="1">K67/(K66+K67)*(K68-BP65)</f>
        <v>463.57000000000005</v>
      </c>
      <c r="BQ67" s="84">
        <f t="shared" ref="BQ67" ca="1" si="2552">L67/(L66+L67)*(L68-BQ65)</f>
        <v>860.24399999999991</v>
      </c>
      <c r="BR67" s="84">
        <f t="shared" ref="BR67" ca="1" si="2553">M67/(M66+M67)*(M68-BR65)</f>
        <v>1393.6559999999999</v>
      </c>
      <c r="BS67" s="84">
        <f t="shared" ref="BS67" ca="1" si="2554">N67/(N66+N67)*(N68-BS65)</f>
        <v>1594.3459999999998</v>
      </c>
      <c r="BT67" s="84">
        <f t="shared" ref="BT67" ca="1" si="2555">O67/(O66+O67)*(O68-BT65)</f>
        <v>1818.9919999999997</v>
      </c>
      <c r="BU67" s="84">
        <f t="shared" ref="BU67" ca="1" si="2556">P67/(P66+P67)*(P68-BU65)</f>
        <v>2064.9</v>
      </c>
      <c r="BV67" s="84">
        <f t="shared" ref="BV67" ca="1" si="2557">Q67/(Q66+Q67)*(Q68-BV65)</f>
        <v>2479.4839999999999</v>
      </c>
      <c r="BW67" s="84">
        <f t="shared" ref="BW67" ca="1" si="2558">R67/(R66+R67)*(R68-BW65)</f>
        <v>2935.8040000000001</v>
      </c>
      <c r="BX67" s="84">
        <f t="shared" ref="BX67" ca="1" si="2559">S67/(S66+S67)*(S68-BX65)</f>
        <v>3437.9520000000007</v>
      </c>
      <c r="BY67" s="84">
        <f t="shared" ref="BY67" ca="1" si="2560">T67/(T66+T67)*(T68-BY65)</f>
        <v>3988.9820000000013</v>
      </c>
      <c r="BZ67" s="84">
        <f t="shared" ref="BZ67" ca="1" si="2561">U67/(U66+U67)*(U68-BZ65)</f>
        <v>4593.6499999999996</v>
      </c>
      <c r="CA67" s="84">
        <f t="shared" ref="CA67" ca="1" si="2562">V67/(V66+V67)*(V68-CA65)</f>
        <v>5430.26</v>
      </c>
      <c r="CB67" s="84">
        <f t="shared" ref="CB67" ca="1" si="2563">W67/(W66+W67)*(W68-CB65)</f>
        <v>6276.2400000000007</v>
      </c>
      <c r="CC67" s="84">
        <f t="shared" ref="CC67" ca="1" si="2564">X67/(X66+X67)*(X68-CC65)</f>
        <v>7203.3649999999989</v>
      </c>
      <c r="CD67" s="84">
        <f t="shared" ref="CD67" ca="1" si="2565">Y67/(Y66+Y67)*(Y68-CD65)</f>
        <v>8218.840000000002</v>
      </c>
      <c r="CE67" s="84">
        <f t="shared" ref="CE67" ca="1" si="2566">Z67/(Z66+Z67)*(Z68-CE65)</f>
        <v>9329.4750000000022</v>
      </c>
      <c r="CF67" s="84">
        <f t="shared" ref="CF67" ca="1" si="2567">AA67/(AA66+AA67)*(AA68-CF65)</f>
        <v>10482.641286848284</v>
      </c>
      <c r="CG67" s="84">
        <f t="shared" ref="CG67" ca="1" si="2568">AB67/(AB66+AB67)*(AB68-CG65)</f>
        <v>11698.476098910476</v>
      </c>
      <c r="CH67" s="84">
        <f t="shared" ref="CH67" ca="1" si="2569">AC67/(AC66+AC67)*(AC68-CH65)</f>
        <v>12972.500600858757</v>
      </c>
      <c r="CI67" s="84">
        <f t="shared" ref="CI67" ca="1" si="2570">AD67/(AD66+AD67)*(AD68-CI65)</f>
        <v>14299.24655775218</v>
      </c>
      <c r="CJ67" s="84">
        <f t="shared" ref="CJ67" ca="1" si="2571">AE67/(AE66+AE67)*(AE68-CJ65)</f>
        <v>15223.237173580939</v>
      </c>
      <c r="CK67" s="84">
        <f t="shared" ref="CK67" ca="1" si="2572">AF67/(AF66+AF67)*(AF68-CK65)</f>
        <v>15850.728527716945</v>
      </c>
      <c r="CL67" s="84">
        <f t="shared" ref="CL67" ca="1" si="2573">AG67/(AG66+AG67)*(AG68-CL65)</f>
        <v>22799.701287633005</v>
      </c>
      <c r="CM67" s="84">
        <f t="shared" ref="CM67" ca="1" si="2574">AH67/(AH66+AH67)*(AH68-CM65)</f>
        <v>34146.901403298325</v>
      </c>
      <c r="CN67" s="118" t="str">
        <f t="shared" ca="1" si="2437"/>
        <v xml:space="preserve">35.2 66.2 108.8 126.2 146 167.9 204.4 245.2 290.8 341.8 398.5 471.1 544.5 624.9 713.1 809.4 909.5 1014.9 1125.5 1240.6 1320.7 1375.2 1978.1 2962.5 </v>
      </c>
      <c r="CO67" s="117">
        <f t="shared" ca="1" si="2544"/>
        <v>35.200000000000003</v>
      </c>
      <c r="CP67" s="117">
        <f t="shared" ca="1" si="2438"/>
        <v>66.2</v>
      </c>
      <c r="CQ67" s="117">
        <f t="shared" ca="1" si="2439"/>
        <v>108.8</v>
      </c>
      <c r="CR67" s="117">
        <f t="shared" ca="1" si="2440"/>
        <v>126.2</v>
      </c>
      <c r="CS67" s="117">
        <f t="shared" ca="1" si="2441"/>
        <v>146</v>
      </c>
      <c r="CT67" s="117">
        <f t="shared" ca="1" si="2442"/>
        <v>167.9</v>
      </c>
      <c r="CU67" s="117">
        <f t="shared" ca="1" si="2443"/>
        <v>204.4</v>
      </c>
      <c r="CV67" s="117">
        <f t="shared" ca="1" si="2444"/>
        <v>245.2</v>
      </c>
      <c r="CW67" s="117">
        <f t="shared" ca="1" si="2445"/>
        <v>290.8</v>
      </c>
      <c r="CX67" s="117">
        <f t="shared" ca="1" si="2446"/>
        <v>341.8</v>
      </c>
      <c r="CY67" s="117">
        <f t="shared" ca="1" si="2447"/>
        <v>398.5</v>
      </c>
      <c r="CZ67" s="117">
        <f t="shared" ca="1" si="2448"/>
        <v>471.1</v>
      </c>
      <c r="DA67" s="117">
        <f t="shared" ca="1" si="2449"/>
        <v>544.5</v>
      </c>
      <c r="DB67" s="117">
        <f t="shared" ca="1" si="2450"/>
        <v>624.9</v>
      </c>
      <c r="DC67" s="117">
        <f t="shared" ca="1" si="2451"/>
        <v>713.1</v>
      </c>
      <c r="DD67" s="117">
        <f t="shared" ca="1" si="2452"/>
        <v>809.4</v>
      </c>
      <c r="DE67" s="117">
        <f t="shared" ca="1" si="2545"/>
        <v>909.5</v>
      </c>
      <c r="DF67" s="117">
        <f t="shared" ca="1" si="2453"/>
        <v>1014.9</v>
      </c>
      <c r="DG67" s="117">
        <f t="shared" ca="1" si="2454"/>
        <v>1125.5</v>
      </c>
      <c r="DH67" s="117">
        <f t="shared" ca="1" si="2546"/>
        <v>1240.5999999999999</v>
      </c>
      <c r="DI67" s="117">
        <f t="shared" ca="1" si="2455"/>
        <v>1320.7</v>
      </c>
      <c r="DJ67" s="117">
        <f t="shared" ca="1" si="2547"/>
        <v>1375.2</v>
      </c>
      <c r="DK67" s="117">
        <f t="shared" ca="1" si="2548"/>
        <v>1978.1</v>
      </c>
      <c r="DL67" s="117">
        <f t="shared" ca="1" si="2456"/>
        <v>2962.5</v>
      </c>
      <c r="DM67" s="118" t="str">
        <f t="shared" si="2457"/>
        <v xml:space="preserve">0.7 0.71 0.72 0.73 0.74 0.75 0.76 0.77 0.78 0.79 0.8 0.8 0.8 0.8 0.8 0.8 0.8 0.8 0.8 0.8 0.8 0.8 0.8 0.8 </v>
      </c>
      <c r="DN67" s="72">
        <f t="shared" si="2549"/>
        <v>0.7</v>
      </c>
      <c r="DO67" s="72">
        <f t="shared" si="2458"/>
        <v>0.71</v>
      </c>
      <c r="DP67" s="72">
        <f t="shared" si="2459"/>
        <v>0.72</v>
      </c>
      <c r="DQ67" s="72">
        <f t="shared" si="2460"/>
        <v>0.73</v>
      </c>
      <c r="DR67" s="72">
        <f t="shared" si="2461"/>
        <v>0.74</v>
      </c>
      <c r="DS67" s="72">
        <f t="shared" si="2462"/>
        <v>0.75</v>
      </c>
      <c r="DT67" s="72">
        <f t="shared" si="2463"/>
        <v>0.76</v>
      </c>
      <c r="DU67" s="72">
        <f t="shared" si="2464"/>
        <v>0.77</v>
      </c>
      <c r="DV67" s="72">
        <f t="shared" si="2465"/>
        <v>0.78</v>
      </c>
      <c r="DW67" s="72">
        <f t="shared" si="2466"/>
        <v>0.79</v>
      </c>
      <c r="DX67" s="72">
        <f t="shared" si="2467"/>
        <v>0.8</v>
      </c>
      <c r="DY67" s="72">
        <f t="shared" si="2468"/>
        <v>0.8</v>
      </c>
      <c r="DZ67" s="72">
        <f t="shared" si="2469"/>
        <v>0.8</v>
      </c>
      <c r="EA67" s="72">
        <f t="shared" si="2470"/>
        <v>0.8</v>
      </c>
      <c r="EB67" s="72">
        <f t="shared" si="2471"/>
        <v>0.8</v>
      </c>
      <c r="EC67" s="72">
        <f t="shared" si="2472"/>
        <v>0.8</v>
      </c>
      <c r="ED67" s="72">
        <f t="shared" si="2473"/>
        <v>0.8</v>
      </c>
      <c r="EE67" s="72">
        <f t="shared" si="2474"/>
        <v>0.8</v>
      </c>
      <c r="EF67" s="72">
        <f t="shared" si="2475"/>
        <v>0.8</v>
      </c>
      <c r="EG67" s="72">
        <f t="shared" si="2476"/>
        <v>0.8</v>
      </c>
      <c r="EH67" s="72">
        <f t="shared" si="2477"/>
        <v>0.8</v>
      </c>
      <c r="EI67" s="72">
        <f t="shared" si="2478"/>
        <v>0.8</v>
      </c>
      <c r="EJ67" s="72">
        <f t="shared" si="2479"/>
        <v>0.8</v>
      </c>
      <c r="EK67" s="72">
        <f t="shared" si="2480"/>
        <v>0.8</v>
      </c>
    </row>
    <row r="68" spans="1:141" x14ac:dyDescent="0.25">
      <c r="A68" t="str">
        <f t="shared" si="20"/>
        <v>NGA</v>
      </c>
      <c r="C68" t="str">
        <f>IFERROR(VLOOKUP(D68,'For model'!$B$4:$C$16,2,FALSE),C67)</f>
        <v>NGA</v>
      </c>
      <c r="D68" t="s">
        <v>537</v>
      </c>
      <c r="K68" s="84">
        <f ca="1">OFFSET(SourceData!$BS$4,MATCH(K64,SourceData!$BS$5:$BS$28,0),MATCH($C68,SourceData!$BT$3:$CF$3,0))</f>
        <v>23178.5</v>
      </c>
      <c r="L68" s="84">
        <f ca="1">OFFSET(SourceData!$BS$4,MATCH(L64,SourceData!$BS$5:$BS$28,0),MATCH($C68,SourceData!$BT$3:$CF$3,0))</f>
        <v>39102</v>
      </c>
      <c r="M68" s="84">
        <f ca="1">OFFSET(SourceData!$BS$4,MATCH(M64,SourceData!$BS$5:$BS$28,0),MATCH($C68,SourceData!$BT$3:$CF$3,0))</f>
        <v>58069</v>
      </c>
      <c r="N68" s="84">
        <f ca="1">OFFSET(SourceData!$BS$4,MATCH(N64,SourceData!$BS$5:$BS$28,0),MATCH($C68,SourceData!$BT$3:$CF$3,0))</f>
        <v>61321</v>
      </c>
      <c r="O68" s="84">
        <f ca="1">OFFSET(SourceData!$BS$4,MATCH(O64,SourceData!$BS$5:$BS$28,0),MATCH($C68,SourceData!$BT$3:$CF$3,0))</f>
        <v>64964</v>
      </c>
      <c r="P68" s="84">
        <f ca="1">OFFSET(SourceData!$BS$4,MATCH(P64,SourceData!$BS$5:$BS$28,0),MATCH($C68,SourceData!$BT$3:$CF$3,0))</f>
        <v>68830</v>
      </c>
      <c r="Q68" s="84">
        <f ca="1">OFFSET(SourceData!$BS$4,MATCH(Q64,SourceData!$BS$5:$BS$28,0),MATCH($C68,SourceData!$BT$3:$CF$3,0))</f>
        <v>72926</v>
      </c>
      <c r="R68" s="84">
        <f ca="1">OFFSET(SourceData!$BS$4,MATCH(R64,SourceData!$BS$5:$BS$28,0),MATCH($C68,SourceData!$BT$3:$CF$3,0))</f>
        <v>77258</v>
      </c>
      <c r="S68" s="84">
        <f ca="1">OFFSET(SourceData!$BS$4,MATCH(S64,SourceData!$BS$5:$BS$28,0),MATCH($C68,SourceData!$BT$3:$CF$3,0))</f>
        <v>81856</v>
      </c>
      <c r="T68" s="84">
        <f ca="1">OFFSET(SourceData!$BS$4,MATCH(T64,SourceData!$BS$5:$BS$28,0),MATCH($C68,SourceData!$BT$3:$CF$3,0))</f>
        <v>86717</v>
      </c>
      <c r="U68" s="84">
        <f ca="1">OFFSET(SourceData!$BS$4,MATCH(U64,SourceData!$BS$5:$BS$28,0),MATCH($C68,SourceData!$BT$3:$CF$3,0))</f>
        <v>91873</v>
      </c>
      <c r="V68" s="84">
        <f ca="1">OFFSET(SourceData!$BS$4,MATCH(V64,SourceData!$BS$5:$BS$28,0),MATCH($C68,SourceData!$BT$3:$CF$3,0))</f>
        <v>98732</v>
      </c>
      <c r="W68" s="84">
        <f ca="1">OFFSET(SourceData!$BS$4,MATCH(W64,SourceData!$BS$5:$BS$28,0),MATCH($C68,SourceData!$BT$3:$CF$3,0))</f>
        <v>104604</v>
      </c>
      <c r="X68" s="84">
        <f ca="1">OFFSET(SourceData!$BS$4,MATCH(X64,SourceData!$BS$5:$BS$28,0),MATCH($C68,SourceData!$BT$3:$CF$3,0))</f>
        <v>110821</v>
      </c>
      <c r="Y68" s="84">
        <f ca="1">OFFSET(SourceData!$BS$4,MATCH(Y64,SourceData!$BS$5:$BS$28,0),MATCH($C68,SourceData!$BT$3:$CF$3,0))</f>
        <v>117412</v>
      </c>
      <c r="Z68" s="84">
        <f ca="1">OFFSET(SourceData!$BS$4,MATCH(Z64,SourceData!$BS$5:$BS$28,0),MATCH($C68,SourceData!$BT$3:$CF$3,0))</f>
        <v>124393</v>
      </c>
      <c r="AA68" s="84">
        <f ca="1">OFFSET(SourceData!$BS$4,MATCH(AA64,SourceData!$BS$5:$BS$28,0),MATCH($C68,SourceData!$BT$3:$CF$3,0))</f>
        <v>131033.01608560351</v>
      </c>
      <c r="AB68" s="84">
        <f ca="1">OFFSET(SourceData!$BS$4,MATCH(AB64,SourceData!$BS$5:$BS$28,0),MATCH($C68,SourceData!$BT$3:$CF$3,0))</f>
        <v>137629.13057541734</v>
      </c>
      <c r="AC68" s="84">
        <f ca="1">OFFSET(SourceData!$BS$4,MATCH(AC64,SourceData!$BS$5:$BS$28,0),MATCH($C68,SourceData!$BT$3:$CF$3,0))</f>
        <v>144138.89556509725</v>
      </c>
      <c r="AD68" s="84">
        <f ca="1">OFFSET(SourceData!$BS$4,MATCH(AD64,SourceData!$BS$5:$BS$28,0),MATCH($C68,SourceData!$BT$3:$CF$3,0))</f>
        <v>150518.38481844394</v>
      </c>
      <c r="AE68" s="84">
        <f ca="1">OFFSET(SourceData!$BS$4,MATCH(AE64,SourceData!$BS$5:$BS$28,0),MATCH($C68,SourceData!$BT$3:$CF$3,0))</f>
        <v>152232.37173580937</v>
      </c>
      <c r="AF68" s="84">
        <f ca="1">OFFSET(SourceData!$BS$4,MATCH(AF64,SourceData!$BS$5:$BS$28,0),MATCH($C68,SourceData!$BT$3:$CF$3,0))</f>
        <v>158507.28527716943</v>
      </c>
      <c r="AG68" s="84">
        <f ca="1">OFFSET(SourceData!$BS$4,MATCH(AG64,SourceData!$BS$5:$BS$28,0),MATCH($C68,SourceData!$BT$3:$CF$3,0))</f>
        <v>227997.01287633003</v>
      </c>
      <c r="AH68" s="84">
        <f ca="1">OFFSET(SourceData!$BS$4,MATCH(AH64,SourceData!$BS$5:$BS$28,0),MATCH($C68,SourceData!$BT$3:$CF$3,0))</f>
        <v>341469.01403298322</v>
      </c>
      <c r="BP68" s="84">
        <f ca="1">SUM(BP65:BP67)</f>
        <v>23178.5</v>
      </c>
      <c r="BQ68" s="84">
        <f t="shared" ref="BQ68" ca="1" si="2575">SUM(BQ65:BQ67)</f>
        <v>39102</v>
      </c>
      <c r="BR68" s="84">
        <f t="shared" ref="BR68" ca="1" si="2576">SUM(BR65:BR67)</f>
        <v>58069</v>
      </c>
      <c r="BS68" s="84">
        <f t="shared" ref="BS68" ca="1" si="2577">SUM(BS65:BS67)</f>
        <v>61321</v>
      </c>
      <c r="BT68" s="84">
        <f t="shared" ref="BT68" ca="1" si="2578">SUM(BT65:BT67)</f>
        <v>64964</v>
      </c>
      <c r="BU68" s="84">
        <f t="shared" ref="BU68" ca="1" si="2579">SUM(BU65:BU67)</f>
        <v>68830</v>
      </c>
      <c r="BV68" s="84">
        <f t="shared" ref="BV68" ca="1" si="2580">SUM(BV65:BV67)</f>
        <v>72925.999999999985</v>
      </c>
      <c r="BW68" s="84">
        <f t="shared" ref="BW68" ca="1" si="2581">SUM(BW65:BW67)</f>
        <v>77258</v>
      </c>
      <c r="BX68" s="84">
        <f t="shared" ref="BX68" ca="1" si="2582">SUM(BX65:BX67)</f>
        <v>81856</v>
      </c>
      <c r="BY68" s="84">
        <f t="shared" ref="BY68" ca="1" si="2583">SUM(BY65:BY67)</f>
        <v>86717</v>
      </c>
      <c r="BZ68" s="84">
        <f t="shared" ref="BZ68" ca="1" si="2584">SUM(BZ65:BZ67)</f>
        <v>91872.999999999985</v>
      </c>
      <c r="CA68" s="84">
        <f t="shared" ref="CA68" ca="1" si="2585">SUM(CA65:CA67)</f>
        <v>98731.999999999985</v>
      </c>
      <c r="CB68" s="84">
        <f t="shared" ref="CB68" ca="1" si="2586">SUM(CB65:CB67)</f>
        <v>104604.00000000001</v>
      </c>
      <c r="CC68" s="84">
        <f t="shared" ref="CC68" ca="1" si="2587">SUM(CC65:CC67)</f>
        <v>110820.99999999999</v>
      </c>
      <c r="CD68" s="84">
        <f t="shared" ref="CD68" ca="1" si="2588">SUM(CD65:CD67)</f>
        <v>117412</v>
      </c>
      <c r="CE68" s="84">
        <f t="shared" ref="CE68" ca="1" si="2589">SUM(CE65:CE67)</f>
        <v>124393</v>
      </c>
      <c r="CF68" s="84">
        <f t="shared" ref="CF68" ca="1" si="2590">SUM(CF65:CF67)</f>
        <v>131033.01608560352</v>
      </c>
      <c r="CG68" s="84">
        <f t="shared" ref="CG68" ca="1" si="2591">SUM(CG65:CG67)</f>
        <v>137629.13057541734</v>
      </c>
      <c r="CH68" s="84">
        <f t="shared" ref="CH68" ca="1" si="2592">SUM(CH65:CH67)</f>
        <v>144138.89556509725</v>
      </c>
      <c r="CI68" s="84">
        <f t="shared" ref="CI68" ca="1" si="2593">SUM(CI65:CI67)</f>
        <v>150518.38481844397</v>
      </c>
      <c r="CJ68" s="84">
        <f t="shared" ref="CJ68" ca="1" si="2594">SUM(CJ65:CJ67)</f>
        <v>152232.3717358094</v>
      </c>
      <c r="CK68" s="84">
        <f t="shared" ref="CK68" ca="1" si="2595">SUM(CK65:CK67)</f>
        <v>158507.28527716943</v>
      </c>
      <c r="CL68" s="84">
        <f t="shared" ref="CL68" ca="1" si="2596">SUM(CL65:CL67)</f>
        <v>227997.01287633003</v>
      </c>
      <c r="CM68" s="84">
        <f t="shared" ref="CM68" ca="1" si="2597">SUM(CM65:CM67)</f>
        <v>341469.01403298322</v>
      </c>
      <c r="CO68" s="117">
        <f ca="1">SUM(CO65:CO67)</f>
        <v>2228.1</v>
      </c>
      <c r="CP68" s="117">
        <f t="shared" ref="CP68:DK68" ca="1" si="2598">SUM(CP65:CP67)</f>
        <v>3778</v>
      </c>
      <c r="CQ68" s="117">
        <f t="shared" ca="1" si="2598"/>
        <v>5638.8</v>
      </c>
      <c r="CR68" s="117">
        <f t="shared" ca="1" si="2598"/>
        <v>5983.8</v>
      </c>
      <c r="CS68" s="117">
        <f t="shared" ca="1" si="2598"/>
        <v>6369.5</v>
      </c>
      <c r="CT68" s="117">
        <f t="shared" ca="1" si="2598"/>
        <v>6779.9</v>
      </c>
      <c r="CU68" s="117">
        <f t="shared" ca="1" si="2598"/>
        <v>7206.9</v>
      </c>
      <c r="CV68" s="117">
        <f t="shared" ca="1" si="2598"/>
        <v>7659.9</v>
      </c>
      <c r="CW68" s="117">
        <f t="shared" ca="1" si="2598"/>
        <v>8141.8</v>
      </c>
      <c r="CX68" s="117">
        <f t="shared" ca="1" si="2598"/>
        <v>8652.7999999999993</v>
      </c>
      <c r="CY68" s="117">
        <f t="shared" ca="1" si="2598"/>
        <v>9196.1</v>
      </c>
      <c r="CZ68" s="117">
        <f t="shared" ca="1" si="2598"/>
        <v>9902</v>
      </c>
      <c r="DA68" s="117">
        <f t="shared" ca="1" si="2598"/>
        <v>10510.9</v>
      </c>
      <c r="DB68" s="117">
        <f t="shared" ca="1" si="2598"/>
        <v>11156.699999999999</v>
      </c>
      <c r="DC68" s="117">
        <f t="shared" ca="1" si="2598"/>
        <v>11842.300000000001</v>
      </c>
      <c r="DD68" s="117">
        <f t="shared" ca="1" si="2598"/>
        <v>12569.4</v>
      </c>
      <c r="DE68" s="117">
        <f t="shared" ca="1" si="2598"/>
        <v>13264.4</v>
      </c>
      <c r="DF68" s="117">
        <f t="shared" ca="1" si="2598"/>
        <v>13956.999999999998</v>
      </c>
      <c r="DG68" s="117">
        <f t="shared" ca="1" si="2598"/>
        <v>14643</v>
      </c>
      <c r="DH68" s="117">
        <f t="shared" ca="1" si="2598"/>
        <v>15317.7</v>
      </c>
      <c r="DI68" s="117">
        <f t="shared" ca="1" si="2598"/>
        <v>15518.6</v>
      </c>
      <c r="DJ68" s="117">
        <f t="shared" ca="1" si="2598"/>
        <v>16158.400000000001</v>
      </c>
      <c r="DK68" s="117">
        <f t="shared" ca="1" si="2598"/>
        <v>23242.199999999997</v>
      </c>
    </row>
    <row r="70" spans="1:141" x14ac:dyDescent="0.25">
      <c r="CL70" t="s">
        <v>491</v>
      </c>
      <c r="CO70">
        <f>CO4</f>
        <v>2010</v>
      </c>
      <c r="CP70">
        <f t="shared" ref="CP70:DL70" si="2599">CP4</f>
        <v>2011</v>
      </c>
      <c r="CQ70">
        <f t="shared" si="2599"/>
        <v>2012</v>
      </c>
      <c r="CR70">
        <f t="shared" si="2599"/>
        <v>2013</v>
      </c>
      <c r="CS70">
        <f t="shared" si="2599"/>
        <v>2014</v>
      </c>
      <c r="CT70">
        <f t="shared" si="2599"/>
        <v>2015</v>
      </c>
      <c r="CU70">
        <f t="shared" si="2599"/>
        <v>2016</v>
      </c>
      <c r="CV70">
        <f t="shared" si="2599"/>
        <v>2017</v>
      </c>
      <c r="CW70">
        <f t="shared" si="2599"/>
        <v>2018</v>
      </c>
      <c r="CX70">
        <f t="shared" si="2599"/>
        <v>2019</v>
      </c>
      <c r="CY70">
        <f t="shared" si="2599"/>
        <v>2020</v>
      </c>
      <c r="CZ70">
        <f t="shared" si="2599"/>
        <v>2021</v>
      </c>
      <c r="DA70">
        <f t="shared" si="2599"/>
        <v>2022</v>
      </c>
      <c r="DB70">
        <f t="shared" si="2599"/>
        <v>2023</v>
      </c>
      <c r="DC70">
        <f t="shared" si="2599"/>
        <v>2024</v>
      </c>
      <c r="DD70">
        <f t="shared" si="2599"/>
        <v>2025</v>
      </c>
      <c r="DE70">
        <f t="shared" si="2599"/>
        <v>2026</v>
      </c>
      <c r="DF70">
        <f t="shared" si="2599"/>
        <v>2027</v>
      </c>
      <c r="DG70">
        <f t="shared" si="2599"/>
        <v>2028</v>
      </c>
      <c r="DH70">
        <f t="shared" si="2599"/>
        <v>2029</v>
      </c>
      <c r="DI70">
        <f t="shared" si="2599"/>
        <v>2030</v>
      </c>
      <c r="DJ70">
        <f t="shared" si="2599"/>
        <v>2031</v>
      </c>
      <c r="DK70">
        <f t="shared" si="2599"/>
        <v>2040</v>
      </c>
      <c r="DL70">
        <f t="shared" si="2599"/>
        <v>2050</v>
      </c>
    </row>
    <row r="71" spans="1:141" x14ac:dyDescent="0.25">
      <c r="CN71" t="str">
        <f>B65</f>
        <v>Heavy Industry</v>
      </c>
      <c r="CO71" s="120">
        <f t="shared" ref="CO71:CX73" ca="1" si="2600">SUMIF($B$4:$B$68,$CN71,CO$4:CO$68)*8.76/1000</f>
        <v>4.2450960000000002</v>
      </c>
      <c r="CP71" s="120">
        <f t="shared" ca="1" si="2600"/>
        <v>7.9348079999999994</v>
      </c>
      <c r="CQ71" s="120">
        <f t="shared" ca="1" si="2600"/>
        <v>12.691488</v>
      </c>
      <c r="CR71" s="120">
        <f t="shared" ca="1" si="2600"/>
        <v>16.210380000000001</v>
      </c>
      <c r="CS71" s="120">
        <f t="shared" ca="1" si="2600"/>
        <v>20.587751999999998</v>
      </c>
      <c r="CT71" s="120">
        <f t="shared" ca="1" si="2600"/>
        <v>24.983520000000002</v>
      </c>
      <c r="CU71" s="120">
        <f t="shared" ca="1" si="2600"/>
        <v>32.744004000000004</v>
      </c>
      <c r="CV71" s="120">
        <f t="shared" ca="1" si="2600"/>
        <v>37.129260000000002</v>
      </c>
      <c r="CW71" s="120">
        <f t="shared" ca="1" si="2600"/>
        <v>41.880683999999995</v>
      </c>
      <c r="CX71" s="120">
        <f t="shared" ca="1" si="2600"/>
        <v>49.317923999999998</v>
      </c>
      <c r="CY71" s="120">
        <f t="shared" ref="CY71:DL73" ca="1" si="2601">SUMIF($B$4:$B$68,$CN71,CY$4:CY$68)*8.76/1000</f>
        <v>55.578696000000001</v>
      </c>
      <c r="CZ71" s="120">
        <f t="shared" ca="1" si="2601"/>
        <v>59.507556000000001</v>
      </c>
      <c r="DA71" s="120">
        <f t="shared" ca="1" si="2601"/>
        <v>63.246323999999994</v>
      </c>
      <c r="DB71" s="120">
        <f t="shared" ca="1" si="2601"/>
        <v>67.247892000000007</v>
      </c>
      <c r="DC71" s="120">
        <f t="shared" ca="1" si="2601"/>
        <v>71.53416</v>
      </c>
      <c r="DD71" s="120">
        <f t="shared" ca="1" si="2601"/>
        <v>76.127027999999996</v>
      </c>
      <c r="DE71" s="120">
        <f t="shared" ca="1" si="2601"/>
        <v>80.756687999999997</v>
      </c>
      <c r="DF71" s="120">
        <f t="shared" ca="1" si="2601"/>
        <v>85.548407999999995</v>
      </c>
      <c r="DG71" s="120">
        <f t="shared" ca="1" si="2601"/>
        <v>90.484667999999985</v>
      </c>
      <c r="DH71" s="120">
        <f t="shared" ca="1" si="2601"/>
        <v>95.554956000000004</v>
      </c>
      <c r="DI71" s="120">
        <f t="shared" ca="1" si="2601"/>
        <v>98.903027999999992</v>
      </c>
      <c r="DJ71" s="120">
        <f t="shared" ca="1" si="2601"/>
        <v>103.05264</v>
      </c>
      <c r="DK71" s="120">
        <f t="shared" ca="1" si="2601"/>
        <v>150.96984</v>
      </c>
      <c r="DL71" s="120">
        <f t="shared" ca="1" si="2601"/>
        <v>236.25632399999998</v>
      </c>
    </row>
    <row r="72" spans="1:141" x14ac:dyDescent="0.25">
      <c r="CN72" t="str">
        <f>B66</f>
        <v>Urban</v>
      </c>
      <c r="CO72" s="120">
        <f t="shared" ca="1" si="2600"/>
        <v>32.88153599999999</v>
      </c>
      <c r="CP72" s="120">
        <f t="shared" ca="1" si="2600"/>
        <v>45.274307999999991</v>
      </c>
      <c r="CQ72" s="120">
        <f t="shared" ca="1" si="2600"/>
        <v>58.530816000000002</v>
      </c>
      <c r="CR72" s="120">
        <f t="shared" ca="1" si="2600"/>
        <v>60.719063999999996</v>
      </c>
      <c r="CS72" s="120">
        <f t="shared" ca="1" si="2600"/>
        <v>62.863512</v>
      </c>
      <c r="CT72" s="120">
        <f t="shared" ca="1" si="2600"/>
        <v>65.035116000000002</v>
      </c>
      <c r="CU72" s="120">
        <f t="shared" ca="1" si="2600"/>
        <v>67.801523999999986</v>
      </c>
      <c r="CV72" s="120">
        <f t="shared" ca="1" si="2600"/>
        <v>69.896916000000004</v>
      </c>
      <c r="CW72" s="120">
        <f t="shared" ca="1" si="2600"/>
        <v>71.958144000000004</v>
      </c>
      <c r="CX72" s="120">
        <f t="shared" ca="1" si="2600"/>
        <v>73.923887999999991</v>
      </c>
      <c r="CY72" s="120">
        <f t="shared" ca="1" si="2601"/>
        <v>75.808163999999991</v>
      </c>
      <c r="CZ72" s="120">
        <f t="shared" ca="1" si="2601"/>
        <v>79.954272000000003</v>
      </c>
      <c r="DA72" s="120">
        <f t="shared" ca="1" si="2601"/>
        <v>83.494187999999994</v>
      </c>
      <c r="DB72" s="120">
        <f t="shared" ca="1" si="2601"/>
        <v>87.159372000000005</v>
      </c>
      <c r="DC72" s="120">
        <f t="shared" ca="1" si="2601"/>
        <v>90.956832000000006</v>
      </c>
      <c r="DD72" s="120">
        <f t="shared" ca="1" si="2601"/>
        <v>94.895327999999992</v>
      </c>
      <c r="DE72" s="120">
        <f t="shared" ca="1" si="2601"/>
        <v>98.606940000000009</v>
      </c>
      <c r="DF72" s="120">
        <f t="shared" ca="1" si="2601"/>
        <v>102.24409200000001</v>
      </c>
      <c r="DG72" s="120">
        <f t="shared" ca="1" si="2601"/>
        <v>105.78313199999999</v>
      </c>
      <c r="DH72" s="120">
        <f t="shared" ca="1" si="2601"/>
        <v>109.21179600000001</v>
      </c>
      <c r="DI72" s="120">
        <f t="shared" ca="1" si="2601"/>
        <v>110.33920799999999</v>
      </c>
      <c r="DJ72" s="120">
        <f t="shared" ca="1" si="2601"/>
        <v>115.29298799999999</v>
      </c>
      <c r="DK72" s="120">
        <f t="shared" ca="1" si="2601"/>
        <v>171.72403199999999</v>
      </c>
      <c r="DL72" s="120">
        <f t="shared" ca="1" si="2601"/>
        <v>269.11858800000005</v>
      </c>
      <c r="DM72" s="20">
        <f>600*600</f>
        <v>360000</v>
      </c>
    </row>
    <row r="73" spans="1:141" x14ac:dyDescent="0.25">
      <c r="CN73" t="str">
        <f>B67</f>
        <v>Rural</v>
      </c>
      <c r="CO73" s="120">
        <f t="shared" ca="1" si="2600"/>
        <v>0.642984</v>
      </c>
      <c r="CP73" s="120">
        <f t="shared" ca="1" si="2600"/>
        <v>0.99688799999999989</v>
      </c>
      <c r="CQ73" s="120">
        <f t="shared" ca="1" si="2600"/>
        <v>1.4506559999999999</v>
      </c>
      <c r="CR73" s="120">
        <f t="shared" ca="1" si="2600"/>
        <v>1.7090760000000003</v>
      </c>
      <c r="CS73" s="120">
        <f t="shared" ca="1" si="2600"/>
        <v>1.995528</v>
      </c>
      <c r="CT73" s="120">
        <f t="shared" ca="1" si="2600"/>
        <v>2.3240280000000002</v>
      </c>
      <c r="CU73" s="120">
        <f t="shared" ca="1" si="2600"/>
        <v>2.7883079999999998</v>
      </c>
      <c r="CV73" s="120">
        <f t="shared" ca="1" si="2600"/>
        <v>3.2823719999999996</v>
      </c>
      <c r="CW73" s="120">
        <f t="shared" ca="1" si="2600"/>
        <v>3.8438880000000002</v>
      </c>
      <c r="CX73" s="120">
        <f t="shared" ca="1" si="2600"/>
        <v>4.493004</v>
      </c>
      <c r="CY73" s="120">
        <f t="shared" ca="1" si="2601"/>
        <v>5.2717679999999989</v>
      </c>
      <c r="CZ73" s="120">
        <f t="shared" ca="1" si="2601"/>
        <v>6.1468920000000002</v>
      </c>
      <c r="DA73" s="120">
        <f t="shared" ca="1" si="2601"/>
        <v>7.0325279999999992</v>
      </c>
      <c r="DB73" s="120">
        <f t="shared" ca="1" si="2601"/>
        <v>8.000508</v>
      </c>
      <c r="DC73" s="120">
        <f t="shared" ca="1" si="2601"/>
        <v>9.0552119999999992</v>
      </c>
      <c r="DD73" s="120">
        <f t="shared" ca="1" si="2601"/>
        <v>10.200144</v>
      </c>
      <c r="DE73" s="120">
        <f t="shared" ca="1" si="2601"/>
        <v>11.395884000000001</v>
      </c>
      <c r="DF73" s="120">
        <f t="shared" ca="1" si="2601"/>
        <v>12.663455999999998</v>
      </c>
      <c r="DG73" s="120">
        <f t="shared" ca="1" si="2601"/>
        <v>13.995852000000001</v>
      </c>
      <c r="DH73" s="120">
        <f t="shared" ca="1" si="2601"/>
        <v>15.393071999999998</v>
      </c>
      <c r="DI73" s="120">
        <f t="shared" ca="1" si="2601"/>
        <v>16.474056000000001</v>
      </c>
      <c r="DJ73" s="120">
        <f t="shared" ca="1" si="2601"/>
        <v>17.194127999999999</v>
      </c>
      <c r="DK73" s="120">
        <f t="shared" ca="1" si="2601"/>
        <v>25.336548000000004</v>
      </c>
      <c r="DL73" s="120">
        <f t="shared" ca="1" si="2601"/>
        <v>39.252684000000002</v>
      </c>
    </row>
    <row r="74" spans="1:141" x14ac:dyDescent="0.25">
      <c r="CO74" s="94">
        <f ca="1">CO71/SUM(CO71:CO73)</f>
        <v>0.11239447073012344</v>
      </c>
      <c r="CP74" s="94">
        <f t="shared" ref="CP74:DI74" ca="1" si="2602">CP71/SUM(CP71:CP73)</f>
        <v>0.14638245608364714</v>
      </c>
      <c r="CQ74" s="94">
        <f t="shared" ca="1" si="2602"/>
        <v>0.17463837994214076</v>
      </c>
      <c r="CR74" s="94">
        <f t="shared" ca="1" si="2602"/>
        <v>0.20613790798707812</v>
      </c>
      <c r="CS74" s="94">
        <f t="shared" ca="1" si="2602"/>
        <v>0.24094236328965984</v>
      </c>
      <c r="CT74" s="94">
        <f t="shared" ca="1" si="2602"/>
        <v>0.27055229855616902</v>
      </c>
      <c r="CU74" s="94">
        <f t="shared" ca="1" si="2602"/>
        <v>0.31687591661650893</v>
      </c>
      <c r="CV74" s="94">
        <f t="shared" ca="1" si="2602"/>
        <v>0.33659458558007671</v>
      </c>
      <c r="CW74" s="94">
        <f t="shared" ca="1" si="2602"/>
        <v>0.35587795237492642</v>
      </c>
      <c r="CX74" s="94">
        <f t="shared" ca="1" si="2602"/>
        <v>0.38609617600263352</v>
      </c>
      <c r="CY74" s="94">
        <f t="shared" ca="1" si="2602"/>
        <v>0.40669730710306856</v>
      </c>
      <c r="CZ74" s="94">
        <f t="shared" ca="1" si="2602"/>
        <v>0.40868126579232344</v>
      </c>
      <c r="DA74" s="94">
        <f t="shared" ca="1" si="2602"/>
        <v>0.41129657058220348</v>
      </c>
      <c r="DB74" s="94">
        <f t="shared" ca="1" si="2602"/>
        <v>0.41406818880564417</v>
      </c>
      <c r="DC74" s="94">
        <f t="shared" ca="1" si="2602"/>
        <v>0.41699646119829031</v>
      </c>
      <c r="DD74" s="94">
        <f t="shared" ca="1" si="2602"/>
        <v>0.42007492447129907</v>
      </c>
      <c r="DE74" s="94">
        <f t="shared" ca="1" si="2602"/>
        <v>0.4233429156602162</v>
      </c>
      <c r="DF74" s="94">
        <f t="shared" ca="1" si="2602"/>
        <v>0.42676910034042587</v>
      </c>
      <c r="DG74" s="94">
        <f t="shared" ca="1" si="2602"/>
        <v>0.43033908685272904</v>
      </c>
      <c r="DH74" s="94">
        <f t="shared" ca="1" si="2602"/>
        <v>0.43402540147379481</v>
      </c>
      <c r="DI74" s="94">
        <f t="shared" ca="1" si="2602"/>
        <v>0.43817407739446651</v>
      </c>
    </row>
    <row r="75" spans="1:141" x14ac:dyDescent="0.25">
      <c r="DI75" s="94">
        <f ca="1">DI73/SUM(DI71:DI73)</f>
        <v>7.298567530960505E-2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Z122"/>
  <sheetViews>
    <sheetView topLeftCell="C1" workbookViewId="0">
      <selection activeCell="T38" sqref="T38"/>
    </sheetView>
  </sheetViews>
  <sheetFormatPr defaultRowHeight="15" x14ac:dyDescent="0.25"/>
  <cols>
    <col min="4" max="8" width="9.28515625" bestFit="1" customWidth="1"/>
    <col min="9" max="9" width="9.5703125" bestFit="1" customWidth="1"/>
  </cols>
  <sheetData>
    <row r="2" spans="3:26" x14ac:dyDescent="0.25">
      <c r="C2" t="s">
        <v>510</v>
      </c>
    </row>
    <row r="3" spans="3:26" x14ac:dyDescent="0.25">
      <c r="C3" t="s">
        <v>511</v>
      </c>
      <c r="T3">
        <v>2030</v>
      </c>
    </row>
    <row r="4" spans="3:26" x14ac:dyDescent="0.25">
      <c r="C4" t="s">
        <v>512</v>
      </c>
      <c r="T4" t="s">
        <v>513</v>
      </c>
    </row>
    <row r="5" spans="3:26" x14ac:dyDescent="0.25">
      <c r="D5">
        <v>2002</v>
      </c>
      <c r="E5">
        <v>2010</v>
      </c>
      <c r="F5">
        <v>2015</v>
      </c>
      <c r="G5">
        <v>2020</v>
      </c>
      <c r="H5">
        <v>2025</v>
      </c>
      <c r="I5">
        <v>2030</v>
      </c>
      <c r="T5" t="s">
        <v>511</v>
      </c>
      <c r="U5" t="s">
        <v>514</v>
      </c>
      <c r="V5" t="s">
        <v>515</v>
      </c>
      <c r="W5" t="s">
        <v>516</v>
      </c>
      <c r="X5" t="s">
        <v>517</v>
      </c>
      <c r="Y5" t="s">
        <v>63</v>
      </c>
      <c r="Z5" t="s">
        <v>79</v>
      </c>
    </row>
    <row r="6" spans="3:26" x14ac:dyDescent="0.25">
      <c r="C6" t="s">
        <v>518</v>
      </c>
      <c r="D6" s="87">
        <v>3.6</v>
      </c>
      <c r="E6" s="87">
        <v>15.415842537050731</v>
      </c>
      <c r="F6" s="87">
        <v>32.568436938934028</v>
      </c>
      <c r="G6" s="87">
        <v>50.884660472215771</v>
      </c>
      <c r="H6" s="87">
        <v>73.438465351849459</v>
      </c>
      <c r="I6" s="87">
        <v>99.831597535392177</v>
      </c>
      <c r="S6" t="str">
        <f>C6</f>
        <v>Rural</v>
      </c>
      <c r="T6" s="94">
        <f>SUMIF($D$5:$I$5,$T$3,D13:I13)</f>
        <v>3.7829317746126939E-2</v>
      </c>
      <c r="U6" s="94">
        <f>SUMIF($D$29:$I$29,$T$3,D30:I30)</f>
        <v>0.03</v>
      </c>
      <c r="V6" s="94">
        <f>SUMIF($D$39:$I$39,$T$3,D47:I47)</f>
        <v>3.5584666355202295E-3</v>
      </c>
      <c r="W6" s="94">
        <f>SUMIF($D$56:$I$56,$T$3,D64:I64)</f>
        <v>0.12064601583080811</v>
      </c>
      <c r="X6" s="94">
        <f>SUMIF($D$94:$I$94,$T$3,D102:I102)</f>
        <v>2.6801551134378401E-2</v>
      </c>
      <c r="Y6" s="94">
        <f>SUMIF($D$111:$J$111,$T$3,D119:J119)</f>
        <v>0</v>
      </c>
      <c r="Z6" s="94">
        <f>SUMIF($D$75:$I$75,$T$3,D83:I83)</f>
        <v>1.707010888827367E-2</v>
      </c>
    </row>
    <row r="7" spans="3:26" x14ac:dyDescent="0.25">
      <c r="C7" t="s">
        <v>519</v>
      </c>
      <c r="D7" s="87">
        <v>90.599999999999966</v>
      </c>
      <c r="E7" s="87">
        <v>171.1135061967199</v>
      </c>
      <c r="F7" s="87">
        <v>272.19132401375464</v>
      </c>
      <c r="G7" s="87">
        <v>431.41551167188766</v>
      </c>
      <c r="H7" s="87">
        <v>631.36357326184327</v>
      </c>
      <c r="I7" s="87">
        <v>910.67125706361094</v>
      </c>
      <c r="S7" t="str">
        <f t="shared" ref="S7:S9" si="0">C7</f>
        <v>Urban</v>
      </c>
      <c r="T7" s="94">
        <f t="shared" ref="T7:T9" si="1">SUMIF($D$5:$I$5,$T$3,D14:I14)</f>
        <v>0.34508184979721462</v>
      </c>
      <c r="U7" s="94">
        <f t="shared" ref="U7:U9" si="2">SUMIF($D$29:$I$29,$T$3,D31:I31)</f>
        <v>0.28499999999999998</v>
      </c>
      <c r="V7" s="94">
        <f t="shared" ref="V7:V9" si="3">SUMIF($D$39:$I$39,$T$3,D48:I48)</f>
        <v>0.16862116977349439</v>
      </c>
      <c r="W7" s="94">
        <f t="shared" ref="W7:W9" si="4">SUMIF($D$56:$I$56,$T$3,D65:I65)</f>
        <v>0.40860228564590756</v>
      </c>
      <c r="X7" s="94">
        <f t="shared" ref="X7:X9" si="5">SUMIF($D$94:$I$94,$T$3,D103:I103)</f>
        <v>0.33615246151841405</v>
      </c>
      <c r="Y7" s="94">
        <f t="shared" ref="Y7:Y9" si="6">SUMIF($D$111:$J$111,$T$3,D120:J120)</f>
        <v>0.36387049154300416</v>
      </c>
      <c r="Z7" s="94">
        <f>SUMIF($D$75:$I$75,$T$3,D84:I84)</f>
        <v>0.10139174939968464</v>
      </c>
    </row>
    <row r="8" spans="3:26" x14ac:dyDescent="0.25">
      <c r="C8" t="s">
        <v>520</v>
      </c>
      <c r="D8" s="87">
        <v>49.20000000000001</v>
      </c>
      <c r="E8" s="87">
        <v>88.033165960912129</v>
      </c>
      <c r="F8" s="87">
        <v>128.71951916248202</v>
      </c>
      <c r="G8" s="87">
        <v>180.13213162619274</v>
      </c>
      <c r="H8" s="87">
        <v>248.61229395634632</v>
      </c>
      <c r="I8" s="87">
        <v>340.34002465269509</v>
      </c>
      <c r="S8" t="str">
        <f t="shared" si="0"/>
        <v>Services</v>
      </c>
      <c r="T8" s="94">
        <f t="shared" si="1"/>
        <v>0.1289654904074545</v>
      </c>
      <c r="U8" s="94">
        <f t="shared" si="2"/>
        <v>0.28500000000000003</v>
      </c>
      <c r="V8" s="94">
        <f t="shared" si="3"/>
        <v>0.10603766980865476</v>
      </c>
      <c r="W8" s="94">
        <f t="shared" si="4"/>
        <v>0.10708456381690694</v>
      </c>
      <c r="X8" s="94">
        <f t="shared" si="5"/>
        <v>0.13575532317612868</v>
      </c>
      <c r="Y8" s="94">
        <f t="shared" si="6"/>
        <v>0.21946566288858371</v>
      </c>
      <c r="Z8" s="94">
        <f>SUMIF($D$75:$I$75,$T$3,D85:I85)</f>
        <v>2.6165375835092999E-2</v>
      </c>
    </row>
    <row r="9" spans="3:26" x14ac:dyDescent="0.25">
      <c r="C9" t="s">
        <v>521</v>
      </c>
      <c r="D9" s="87">
        <v>200.99999999999991</v>
      </c>
      <c r="E9" s="87">
        <v>324.19593517608484</v>
      </c>
      <c r="F9" s="87">
        <v>454.15806000909049</v>
      </c>
      <c r="G9" s="87">
        <v>641.36898903286522</v>
      </c>
      <c r="H9" s="87">
        <v>903.04514677761335</v>
      </c>
      <c r="I9" s="87">
        <v>1288.1578610038723</v>
      </c>
      <c r="S9" t="str">
        <f t="shared" si="0"/>
        <v>Industry</v>
      </c>
      <c r="T9" s="94">
        <f t="shared" si="1"/>
        <v>0.48812334204920399</v>
      </c>
      <c r="U9" s="94">
        <f t="shared" si="2"/>
        <v>0.4</v>
      </c>
      <c r="V9" s="94">
        <f t="shared" si="3"/>
        <v>0.72178269378233062</v>
      </c>
      <c r="W9" s="94">
        <f t="shared" si="4"/>
        <v>0.36366713470637735</v>
      </c>
      <c r="X9" s="94">
        <f t="shared" si="5"/>
        <v>0.5012906641710787</v>
      </c>
      <c r="Y9" s="94">
        <f t="shared" si="6"/>
        <v>0.41666384556841857</v>
      </c>
      <c r="Z9" s="94">
        <f>SUMIF($D$75:$I$75,$T$3,D86:I86)</f>
        <v>0.85537276587694866</v>
      </c>
    </row>
    <row r="10" spans="3:26" x14ac:dyDescent="0.25">
      <c r="C10" t="s">
        <v>482</v>
      </c>
      <c r="D10" s="87">
        <f>SUM(D6:D9)</f>
        <v>344.39999999999986</v>
      </c>
      <c r="E10" s="87">
        <f t="shared" ref="E10:I10" si="7">SUM(E6:E9)</f>
        <v>598.75844987076766</v>
      </c>
      <c r="F10" s="87">
        <f t="shared" si="7"/>
        <v>887.63734012426119</v>
      </c>
      <c r="G10" s="87">
        <f t="shared" si="7"/>
        <v>1303.8012928031612</v>
      </c>
      <c r="H10" s="87">
        <f t="shared" si="7"/>
        <v>1856.4594793476524</v>
      </c>
      <c r="I10" s="87">
        <f t="shared" si="7"/>
        <v>2639.0007402555702</v>
      </c>
    </row>
    <row r="12" spans="3:26" x14ac:dyDescent="0.25">
      <c r="C12" t="s">
        <v>522</v>
      </c>
    </row>
    <row r="13" spans="3:26" x14ac:dyDescent="0.25">
      <c r="C13" t="str">
        <f>C6</f>
        <v>Rural</v>
      </c>
      <c r="D13" s="94">
        <f>D6/D$10</f>
        <v>1.0452961672473872E-2</v>
      </c>
      <c r="E13" s="94">
        <f t="shared" ref="E13:I13" si="8">E6/E$10</f>
        <v>2.5746346528183427E-2</v>
      </c>
      <c r="F13" s="94">
        <f t="shared" si="8"/>
        <v>3.6691152418593317E-2</v>
      </c>
      <c r="G13" s="94">
        <f t="shared" si="8"/>
        <v>3.9027926075156899E-2</v>
      </c>
      <c r="H13" s="94">
        <f t="shared" si="8"/>
        <v>3.9558345425161262E-2</v>
      </c>
      <c r="I13" s="94">
        <f t="shared" si="8"/>
        <v>3.7829317746126939E-2</v>
      </c>
    </row>
    <row r="14" spans="3:26" x14ac:dyDescent="0.25">
      <c r="C14" t="str">
        <f t="shared" ref="C14:C16" si="9">C7</f>
        <v>Urban</v>
      </c>
      <c r="D14" s="94">
        <f t="shared" ref="D14:I16" si="10">D7/D$10</f>
        <v>0.26306620209059234</v>
      </c>
      <c r="E14" s="94">
        <f t="shared" si="10"/>
        <v>0.28578052841450835</v>
      </c>
      <c r="F14" s="94">
        <f t="shared" si="10"/>
        <v>0.30664699614332391</v>
      </c>
      <c r="G14" s="94">
        <f t="shared" si="10"/>
        <v>0.33089053834602983</v>
      </c>
      <c r="H14" s="94">
        <f t="shared" si="10"/>
        <v>0.34009014486203615</v>
      </c>
      <c r="I14" s="94">
        <f t="shared" si="10"/>
        <v>0.34508184979721462</v>
      </c>
    </row>
    <row r="15" spans="3:26" x14ac:dyDescent="0.25">
      <c r="C15" t="str">
        <f t="shared" si="9"/>
        <v>Services</v>
      </c>
      <c r="D15" s="94">
        <f t="shared" si="10"/>
        <v>0.14285714285714293</v>
      </c>
      <c r="E15" s="94">
        <f t="shared" si="10"/>
        <v>0.14702617721706085</v>
      </c>
      <c r="F15" s="94">
        <f t="shared" si="10"/>
        <v>0.14501363715102661</v>
      </c>
      <c r="G15" s="94">
        <f t="shared" si="10"/>
        <v>0.13815919083720976</v>
      </c>
      <c r="H15" s="94">
        <f t="shared" si="10"/>
        <v>0.13391743623928007</v>
      </c>
      <c r="I15" s="94">
        <f t="shared" si="10"/>
        <v>0.1289654904074545</v>
      </c>
    </row>
    <row r="16" spans="3:26" x14ac:dyDescent="0.25">
      <c r="C16" t="str">
        <f t="shared" si="9"/>
        <v>Industry</v>
      </c>
      <c r="D16" s="94">
        <f t="shared" si="10"/>
        <v>0.58362369337979092</v>
      </c>
      <c r="E16" s="94">
        <f t="shared" si="10"/>
        <v>0.54144694784024727</v>
      </c>
      <c r="F16" s="94">
        <f t="shared" si="10"/>
        <v>0.51164821428705609</v>
      </c>
      <c r="G16" s="94">
        <f t="shared" si="10"/>
        <v>0.49192234474160368</v>
      </c>
      <c r="H16" s="94">
        <f t="shared" si="10"/>
        <v>0.48643407347352252</v>
      </c>
      <c r="I16" s="94">
        <f t="shared" si="10"/>
        <v>0.48812334204920399</v>
      </c>
    </row>
    <row r="20" spans="3:9" x14ac:dyDescent="0.25">
      <c r="C20" t="s">
        <v>67</v>
      </c>
    </row>
    <row r="21" spans="3:9" x14ac:dyDescent="0.25">
      <c r="C21" t="s">
        <v>523</v>
      </c>
    </row>
    <row r="22" spans="3:9" x14ac:dyDescent="0.25">
      <c r="E22">
        <v>2010</v>
      </c>
      <c r="F22">
        <v>2015</v>
      </c>
      <c r="G22">
        <v>2020</v>
      </c>
      <c r="H22">
        <v>2025</v>
      </c>
      <c r="I22">
        <v>2030</v>
      </c>
    </row>
    <row r="23" spans="3:9" x14ac:dyDescent="0.25">
      <c r="D23" s="87"/>
      <c r="E23" s="87"/>
      <c r="F23" s="87"/>
      <c r="G23" s="87"/>
      <c r="H23" s="87"/>
      <c r="I23" s="87"/>
    </row>
    <row r="24" spans="3:9" x14ac:dyDescent="0.25">
      <c r="D24" s="87"/>
      <c r="E24" s="87"/>
      <c r="F24" s="87"/>
      <c r="G24" s="87"/>
      <c r="H24" s="87"/>
      <c r="I24" s="87"/>
    </row>
    <row r="25" spans="3:9" x14ac:dyDescent="0.25">
      <c r="D25" s="87"/>
      <c r="E25" s="87"/>
      <c r="F25" s="87"/>
      <c r="G25" s="87"/>
      <c r="H25" s="87"/>
      <c r="I25" s="87"/>
    </row>
    <row r="26" spans="3:9" x14ac:dyDescent="0.25">
      <c r="D26" s="87"/>
      <c r="E26" s="87"/>
      <c r="F26" s="87"/>
      <c r="G26" s="87"/>
      <c r="H26" s="87"/>
      <c r="I26" s="87"/>
    </row>
    <row r="27" spans="3:9" x14ac:dyDescent="0.25">
      <c r="D27" s="87"/>
      <c r="E27" s="87"/>
      <c r="F27" s="87"/>
      <c r="G27" s="87"/>
      <c r="H27" s="87"/>
      <c r="I27" s="87"/>
    </row>
    <row r="29" spans="3:9" x14ac:dyDescent="0.25">
      <c r="C29" t="s">
        <v>522</v>
      </c>
      <c r="E29">
        <v>2010</v>
      </c>
      <c r="F29">
        <v>2015</v>
      </c>
      <c r="G29">
        <v>2020</v>
      </c>
      <c r="H29">
        <v>2025</v>
      </c>
      <c r="I29">
        <v>2030</v>
      </c>
    </row>
    <row r="30" spans="3:9" x14ac:dyDescent="0.25">
      <c r="C30" t="s">
        <v>518</v>
      </c>
      <c r="D30" s="94"/>
      <c r="E30" s="94">
        <v>0.03</v>
      </c>
      <c r="F30" s="94">
        <f>E30</f>
        <v>0.03</v>
      </c>
      <c r="G30" s="94">
        <f t="shared" ref="G30:I30" si="11">F30</f>
        <v>0.03</v>
      </c>
      <c r="H30" s="94">
        <f t="shared" si="11"/>
        <v>0.03</v>
      </c>
      <c r="I30" s="94">
        <f t="shared" si="11"/>
        <v>0.03</v>
      </c>
    </row>
    <row r="31" spans="3:9" x14ac:dyDescent="0.25">
      <c r="C31" t="s">
        <v>519</v>
      </c>
      <c r="D31" s="94"/>
      <c r="E31" s="94">
        <v>0.32</v>
      </c>
      <c r="F31" s="94">
        <f>F35/2</f>
        <v>0.32250000000000001</v>
      </c>
      <c r="G31" s="94">
        <f t="shared" ref="G31:I31" si="12">G35/2</f>
        <v>0.31</v>
      </c>
      <c r="H31" s="94">
        <f t="shared" si="12"/>
        <v>0.29749999999999999</v>
      </c>
      <c r="I31" s="94">
        <f t="shared" si="12"/>
        <v>0.28499999999999998</v>
      </c>
    </row>
    <row r="32" spans="3:9" x14ac:dyDescent="0.25">
      <c r="C32" t="s">
        <v>520</v>
      </c>
      <c r="D32" s="94"/>
      <c r="E32" s="94">
        <v>0.3</v>
      </c>
      <c r="F32" s="94">
        <f>1-F31-F30-F33</f>
        <v>0.32249999999999995</v>
      </c>
      <c r="G32" s="94">
        <f t="shared" ref="G32:I32" si="13">1-G31-G30-G33</f>
        <v>0.30999999999999994</v>
      </c>
      <c r="H32" s="94">
        <f t="shared" si="13"/>
        <v>0.29749999999999999</v>
      </c>
      <c r="I32" s="94">
        <f t="shared" si="13"/>
        <v>0.28500000000000003</v>
      </c>
    </row>
    <row r="33" spans="3:9" x14ac:dyDescent="0.25">
      <c r="C33" t="s">
        <v>524</v>
      </c>
      <c r="D33" s="94"/>
      <c r="E33" s="94">
        <v>0.3</v>
      </c>
      <c r="F33" s="94">
        <v>0.32500000000000001</v>
      </c>
      <c r="G33" s="94">
        <v>0.35</v>
      </c>
      <c r="H33" s="94">
        <v>0.375</v>
      </c>
      <c r="I33" s="94">
        <v>0.4</v>
      </c>
    </row>
    <row r="35" spans="3:9" x14ac:dyDescent="0.25">
      <c r="F35" s="72">
        <f>1-F33-F30</f>
        <v>0.64500000000000002</v>
      </c>
      <c r="G35" s="72">
        <f t="shared" ref="G35:I35" si="14">1-G33-G30</f>
        <v>0.62</v>
      </c>
      <c r="H35" s="72">
        <f t="shared" si="14"/>
        <v>0.59499999999999997</v>
      </c>
      <c r="I35" s="72">
        <f t="shared" si="14"/>
        <v>0.56999999999999995</v>
      </c>
    </row>
    <row r="37" spans="3:9" x14ac:dyDescent="0.25">
      <c r="C37" t="s">
        <v>515</v>
      </c>
    </row>
    <row r="38" spans="3:9" x14ac:dyDescent="0.25">
      <c r="C38" t="s">
        <v>525</v>
      </c>
    </row>
    <row r="39" spans="3:9" x14ac:dyDescent="0.25">
      <c r="D39" s="2">
        <v>2010</v>
      </c>
      <c r="E39" s="2">
        <v>2015</v>
      </c>
      <c r="F39" s="2">
        <v>2020</v>
      </c>
      <c r="G39" s="2">
        <v>2025</v>
      </c>
      <c r="H39" s="2">
        <v>2030</v>
      </c>
    </row>
    <row r="40" spans="3:9" x14ac:dyDescent="0.25">
      <c r="C40" t="s">
        <v>526</v>
      </c>
      <c r="D40" s="87">
        <v>20.706200018292293</v>
      </c>
      <c r="E40" s="87">
        <v>14.619299986865371</v>
      </c>
      <c r="F40" s="87">
        <v>11.071999984967988</v>
      </c>
      <c r="G40" s="87">
        <v>5.6989000246394426</v>
      </c>
      <c r="H40" s="87">
        <v>5.3118999907746911</v>
      </c>
    </row>
    <row r="41" spans="3:9" x14ac:dyDescent="0.25">
      <c r="C41" t="s">
        <v>527</v>
      </c>
      <c r="D41" s="87">
        <v>126.56679996871389</v>
      </c>
      <c r="E41" s="87">
        <v>140.21529958979227</v>
      </c>
      <c r="F41" s="87">
        <v>192.16740052122623</v>
      </c>
      <c r="G41" s="87">
        <v>217.10629958473146</v>
      </c>
      <c r="H41" s="87">
        <v>251.70920003112406</v>
      </c>
    </row>
    <row r="42" spans="3:9" x14ac:dyDescent="0.25">
      <c r="C42" t="s">
        <v>520</v>
      </c>
      <c r="D42" s="87">
        <v>106.75969998800429</v>
      </c>
      <c r="E42" s="87">
        <v>115.18089967669221</v>
      </c>
      <c r="F42" s="87">
        <v>134.1098997023073</v>
      </c>
      <c r="G42" s="87">
        <v>143.80750012726639</v>
      </c>
      <c r="H42" s="87">
        <v>158.28769944221131</v>
      </c>
    </row>
    <row r="43" spans="3:9" x14ac:dyDescent="0.25">
      <c r="C43" t="s">
        <v>521</v>
      </c>
      <c r="D43" s="87">
        <v>520.69649972696789</v>
      </c>
      <c r="E43" s="87">
        <v>612.42249947987148</v>
      </c>
      <c r="F43" s="87">
        <v>732.19399959081784</v>
      </c>
      <c r="G43" s="87">
        <v>880.7081997722853</v>
      </c>
      <c r="H43" s="87">
        <v>1077.4408972035162</v>
      </c>
    </row>
    <row r="44" spans="3:9" x14ac:dyDescent="0.25">
      <c r="C44" t="s">
        <v>482</v>
      </c>
      <c r="D44" s="87">
        <f>SUM(D40:D43)</f>
        <v>774.72919970197836</v>
      </c>
      <c r="E44" s="87">
        <f t="shared" ref="E44:H44" si="15">SUM(E40:E43)</f>
        <v>882.43799873322132</v>
      </c>
      <c r="F44" s="87">
        <f t="shared" si="15"/>
        <v>1069.5432997993194</v>
      </c>
      <c r="G44" s="87">
        <f t="shared" si="15"/>
        <v>1247.3208995089226</v>
      </c>
      <c r="H44" s="87">
        <f t="shared" si="15"/>
        <v>1492.7496966676263</v>
      </c>
    </row>
    <row r="46" spans="3:9" x14ac:dyDescent="0.25">
      <c r="C46" t="s">
        <v>522</v>
      </c>
    </row>
    <row r="47" spans="3:9" x14ac:dyDescent="0.25">
      <c r="C47" t="str">
        <f>C40</f>
        <v>Low Income hh</v>
      </c>
      <c r="D47" s="94">
        <f>D40/D$44</f>
        <v>2.672701639005929E-2</v>
      </c>
      <c r="E47" s="94">
        <f t="shared" ref="E47:H47" si="16">E40/E$44</f>
        <v>1.6566942955598039E-2</v>
      </c>
      <c r="F47" s="94">
        <f t="shared" si="16"/>
        <v>1.0352082040105763E-2</v>
      </c>
      <c r="G47" s="94">
        <f t="shared" si="16"/>
        <v>4.5689124802471698E-3</v>
      </c>
      <c r="H47" s="94">
        <f t="shared" si="16"/>
        <v>3.5584666355202295E-3</v>
      </c>
    </row>
    <row r="48" spans="3:9" x14ac:dyDescent="0.25">
      <c r="C48" t="str">
        <f>C41</f>
        <v>Other hh</v>
      </c>
      <c r="D48" s="94">
        <f t="shared" ref="D48:H50" si="17">D41/D$44</f>
        <v>0.16336908434250499</v>
      </c>
      <c r="E48" s="94">
        <f t="shared" si="17"/>
        <v>0.1588953555842762</v>
      </c>
      <c r="F48" s="94">
        <f t="shared" si="17"/>
        <v>0.17967238966134705</v>
      </c>
      <c r="G48" s="94">
        <f t="shared" si="17"/>
        <v>0.17405809496995317</v>
      </c>
      <c r="H48" s="94">
        <f t="shared" si="17"/>
        <v>0.16862116977349439</v>
      </c>
    </row>
    <row r="49" spans="3:9" x14ac:dyDescent="0.25">
      <c r="C49" t="str">
        <f>C42</f>
        <v>Services</v>
      </c>
      <c r="D49" s="94">
        <f t="shared" si="17"/>
        <v>0.13780260254689308</v>
      </c>
      <c r="E49" s="94">
        <f t="shared" si="17"/>
        <v>0.13052577047003808</v>
      </c>
      <c r="F49" s="94">
        <f t="shared" si="17"/>
        <v>0.12538987409623401</v>
      </c>
      <c r="G49" s="94">
        <f t="shared" si="17"/>
        <v>0.11529310555437998</v>
      </c>
      <c r="H49" s="94">
        <f t="shared" si="17"/>
        <v>0.10603766980865476</v>
      </c>
    </row>
    <row r="50" spans="3:9" x14ac:dyDescent="0.25">
      <c r="C50" t="str">
        <f>C43</f>
        <v>Industry</v>
      </c>
      <c r="D50" s="94">
        <f t="shared" si="17"/>
        <v>0.67210129672054264</v>
      </c>
      <c r="E50" s="94">
        <f t="shared" si="17"/>
        <v>0.69401193099008773</v>
      </c>
      <c r="F50" s="94">
        <f t="shared" si="17"/>
        <v>0.68458565420231321</v>
      </c>
      <c r="G50" s="94">
        <f t="shared" si="17"/>
        <v>0.70607988699541968</v>
      </c>
      <c r="H50" s="94">
        <f t="shared" si="17"/>
        <v>0.72178269378233062</v>
      </c>
    </row>
    <row r="54" spans="3:9" x14ac:dyDescent="0.25">
      <c r="C54" t="s">
        <v>516</v>
      </c>
    </row>
    <row r="55" spans="3:9" x14ac:dyDescent="0.25">
      <c r="C55" t="s">
        <v>528</v>
      </c>
    </row>
    <row r="56" spans="3:9" x14ac:dyDescent="0.25">
      <c r="D56">
        <v>2008</v>
      </c>
      <c r="E56">
        <v>2015</v>
      </c>
      <c r="F56">
        <v>2020</v>
      </c>
      <c r="G56">
        <v>2025</v>
      </c>
      <c r="H56">
        <v>2030</v>
      </c>
    </row>
    <row r="57" spans="3:9" x14ac:dyDescent="0.25">
      <c r="C57" t="s">
        <v>518</v>
      </c>
      <c r="D57" s="87">
        <v>1.179000000000002</v>
      </c>
      <c r="E57" s="87">
        <v>45.726178145746545</v>
      </c>
      <c r="F57" s="87">
        <v>87.774274987249925</v>
      </c>
      <c r="G57" s="87">
        <v>140.07607434647005</v>
      </c>
      <c r="H57" s="87">
        <v>184.97225157668839</v>
      </c>
      <c r="I57" s="87"/>
    </row>
    <row r="58" spans="3:9" x14ac:dyDescent="0.25">
      <c r="C58" t="s">
        <v>519</v>
      </c>
      <c r="D58" s="87">
        <v>38.121000000000009</v>
      </c>
      <c r="E58" s="87">
        <v>99.624420103226697</v>
      </c>
      <c r="F58" s="87">
        <v>192.64243474912286</v>
      </c>
      <c r="G58" s="87">
        <v>367.06917142803331</v>
      </c>
      <c r="H58" s="87">
        <v>626.46150604174863</v>
      </c>
      <c r="I58" s="87"/>
    </row>
    <row r="59" spans="3:9" x14ac:dyDescent="0.25">
      <c r="C59" t="s">
        <v>520</v>
      </c>
      <c r="D59" s="87">
        <v>23.49</v>
      </c>
      <c r="E59" s="87">
        <v>53.164363215591045</v>
      </c>
      <c r="F59" s="87">
        <v>90.306357307275576</v>
      </c>
      <c r="G59" s="87">
        <v>133.02884177074355</v>
      </c>
      <c r="H59" s="87">
        <v>164.18008288063811</v>
      </c>
      <c r="I59" s="87"/>
    </row>
    <row r="60" spans="3:9" x14ac:dyDescent="0.25">
      <c r="C60" t="s">
        <v>521</v>
      </c>
      <c r="D60" s="87">
        <v>42.029999999999987</v>
      </c>
      <c r="E60" s="87">
        <v>98.811645232879656</v>
      </c>
      <c r="F60" s="87">
        <v>187.06267135746381</v>
      </c>
      <c r="G60" s="87">
        <v>337.4516316642742</v>
      </c>
      <c r="H60" s="87">
        <v>557.56775943117259</v>
      </c>
      <c r="I60" s="87"/>
    </row>
    <row r="61" spans="3:9" x14ac:dyDescent="0.25">
      <c r="C61" t="s">
        <v>482</v>
      </c>
      <c r="D61" s="87">
        <f>SUM(D57:D60)</f>
        <v>104.82</v>
      </c>
      <c r="E61" s="87">
        <f t="shared" ref="E61:H61" si="18">SUM(E57:E60)</f>
        <v>297.32660669744394</v>
      </c>
      <c r="F61" s="87">
        <f t="shared" si="18"/>
        <v>557.78573840111221</v>
      </c>
      <c r="G61" s="87">
        <f t="shared" si="18"/>
        <v>977.62571920952109</v>
      </c>
      <c r="H61" s="87">
        <f t="shared" si="18"/>
        <v>1533.1815999302478</v>
      </c>
      <c r="I61" s="87"/>
    </row>
    <row r="63" spans="3:9" x14ac:dyDescent="0.25">
      <c r="C63" t="s">
        <v>522</v>
      </c>
    </row>
    <row r="64" spans="3:9" x14ac:dyDescent="0.25">
      <c r="C64" t="str">
        <f>C57</f>
        <v>Rural</v>
      </c>
      <c r="D64" s="94">
        <f t="shared" ref="D64:H67" si="19">D57/D$61</f>
        <v>1.1247853463079585E-2</v>
      </c>
      <c r="E64" s="94">
        <f t="shared" si="19"/>
        <v>0.15379107390909341</v>
      </c>
      <c r="F64" s="94">
        <f t="shared" si="19"/>
        <v>0.1573619921492688</v>
      </c>
      <c r="G64" s="94">
        <f t="shared" si="19"/>
        <v>0.14328190389644349</v>
      </c>
      <c r="H64" s="94">
        <f t="shared" si="19"/>
        <v>0.12064601583080811</v>
      </c>
      <c r="I64" s="94"/>
    </row>
    <row r="65" spans="3:9" x14ac:dyDescent="0.25">
      <c r="C65" t="str">
        <f t="shared" ref="C65:C67" si="20">C58</f>
        <v>Urban</v>
      </c>
      <c r="D65" s="94">
        <f t="shared" si="19"/>
        <v>0.36368059530623936</v>
      </c>
      <c r="E65" s="94">
        <f t="shared" si="19"/>
        <v>0.33506728916663464</v>
      </c>
      <c r="F65" s="94">
        <f t="shared" si="19"/>
        <v>0.34536995388467739</v>
      </c>
      <c r="G65" s="94">
        <f t="shared" si="19"/>
        <v>0.37547004361222663</v>
      </c>
      <c r="H65" s="94">
        <f t="shared" si="19"/>
        <v>0.40860228564590756</v>
      </c>
      <c r="I65" s="94"/>
    </row>
    <row r="66" spans="3:9" x14ac:dyDescent="0.25">
      <c r="C66" t="str">
        <f t="shared" si="20"/>
        <v>Services</v>
      </c>
      <c r="D66" s="94">
        <f t="shared" si="19"/>
        <v>0.22409845449341728</v>
      </c>
      <c r="E66" s="94">
        <f t="shared" si="19"/>
        <v>0.17880795737090047</v>
      </c>
      <c r="F66" s="94">
        <f t="shared" si="19"/>
        <v>0.16190151717779291</v>
      </c>
      <c r="G66" s="94">
        <f t="shared" si="19"/>
        <v>0.13607338591532422</v>
      </c>
      <c r="H66" s="94">
        <f t="shared" si="19"/>
        <v>0.10708456381690694</v>
      </c>
      <c r="I66" s="94"/>
    </row>
    <row r="67" spans="3:9" x14ac:dyDescent="0.25">
      <c r="C67" t="str">
        <f t="shared" si="20"/>
        <v>Industry</v>
      </c>
      <c r="D67" s="94">
        <f t="shared" si="19"/>
        <v>0.40097309673726378</v>
      </c>
      <c r="E67" s="94">
        <f t="shared" si="19"/>
        <v>0.33233367955337151</v>
      </c>
      <c r="F67" s="94">
        <f t="shared" si="19"/>
        <v>0.33536653678826078</v>
      </c>
      <c r="G67" s="94">
        <f t="shared" si="19"/>
        <v>0.34517466657600571</v>
      </c>
      <c r="H67" s="94">
        <f t="shared" si="19"/>
        <v>0.36366713470637735</v>
      </c>
      <c r="I67" s="94"/>
    </row>
    <row r="73" spans="3:9" x14ac:dyDescent="0.25">
      <c r="C73" t="s">
        <v>79</v>
      </c>
    </row>
    <row r="74" spans="3:9" x14ac:dyDescent="0.25">
      <c r="C74" t="s">
        <v>529</v>
      </c>
    </row>
    <row r="75" spans="3:9" x14ac:dyDescent="0.25">
      <c r="D75">
        <v>2005</v>
      </c>
      <c r="E75">
        <v>2010</v>
      </c>
      <c r="F75">
        <v>2015</v>
      </c>
      <c r="G75">
        <v>2020</v>
      </c>
      <c r="H75">
        <v>2025</v>
      </c>
      <c r="I75">
        <v>2030</v>
      </c>
    </row>
    <row r="76" spans="3:9" x14ac:dyDescent="0.25">
      <c r="C76" t="s">
        <v>518</v>
      </c>
      <c r="D76" s="87">
        <v>0.17372000000000004</v>
      </c>
      <c r="E76" s="87">
        <v>2.1377744122921443</v>
      </c>
      <c r="F76" s="87">
        <v>6.3724205291244873</v>
      </c>
      <c r="G76" s="87">
        <v>14.833482199718038</v>
      </c>
      <c r="H76" s="87">
        <v>23.228690087060798</v>
      </c>
      <c r="I76" s="87">
        <v>30.688072249163106</v>
      </c>
    </row>
    <row r="77" spans="3:9" x14ac:dyDescent="0.25">
      <c r="C77" t="s">
        <v>519</v>
      </c>
      <c r="D77" s="87">
        <v>17.19828</v>
      </c>
      <c r="E77" s="87">
        <v>32.233469367743048</v>
      </c>
      <c r="F77" s="87">
        <v>54.122620147345152</v>
      </c>
      <c r="G77" s="87">
        <v>82.564786674074455</v>
      </c>
      <c r="H77" s="87">
        <v>119.61401305753583</v>
      </c>
      <c r="I77" s="87">
        <v>182.27870433703106</v>
      </c>
    </row>
    <row r="78" spans="3:9" x14ac:dyDescent="0.25">
      <c r="C78" t="s">
        <v>520</v>
      </c>
      <c r="D78" s="87">
        <v>5.2899999999999991</v>
      </c>
      <c r="E78" s="87">
        <v>7.9253297890938601</v>
      </c>
      <c r="F78" s="87">
        <v>12.732863118102387</v>
      </c>
      <c r="G78" s="87">
        <v>19.707155504063714</v>
      </c>
      <c r="H78" s="87">
        <v>30.266543763710441</v>
      </c>
      <c r="I78" s="87">
        <v>47.039239720693175</v>
      </c>
    </row>
    <row r="79" spans="3:9" x14ac:dyDescent="0.25">
      <c r="C79" t="s">
        <v>521</v>
      </c>
      <c r="D79" s="87">
        <v>16.862266191178211</v>
      </c>
      <c r="E79" s="87">
        <v>90.512173803129741</v>
      </c>
      <c r="F79" s="87">
        <v>224.19760411367741</v>
      </c>
      <c r="G79" s="87">
        <v>451.24398535638181</v>
      </c>
      <c r="H79" s="87">
        <v>849.50890067348951</v>
      </c>
      <c r="I79" s="87">
        <v>1537.7606206853529</v>
      </c>
    </row>
    <row r="80" spans="3:9" x14ac:dyDescent="0.25">
      <c r="C80" t="s">
        <v>482</v>
      </c>
      <c r="D80" s="87">
        <f>SUM(D76:D79)</f>
        <v>39.524266191178214</v>
      </c>
      <c r="E80" s="87">
        <f t="shared" ref="E80:I80" si="21">SUM(E76:E79)</f>
        <v>132.80874737225878</v>
      </c>
      <c r="F80" s="87">
        <f t="shared" si="21"/>
        <v>297.42550790824941</v>
      </c>
      <c r="G80" s="87">
        <f t="shared" si="21"/>
        <v>568.34940973423795</v>
      </c>
      <c r="H80" s="87">
        <f t="shared" si="21"/>
        <v>1022.6181475817966</v>
      </c>
      <c r="I80" s="87">
        <f t="shared" si="21"/>
        <v>1797.7666369922404</v>
      </c>
    </row>
    <row r="82" spans="3:9" x14ac:dyDescent="0.25">
      <c r="C82" t="s">
        <v>522</v>
      </c>
    </row>
    <row r="83" spans="3:9" x14ac:dyDescent="0.25">
      <c r="C83" t="str">
        <f>C76</f>
        <v>Rural</v>
      </c>
      <c r="D83" s="94">
        <f>D76/D$80</f>
        <v>4.3952745171717883E-3</v>
      </c>
      <c r="E83" s="94">
        <f t="shared" ref="E83:I83" si="22">E76/E$80</f>
        <v>1.6096638622003032E-2</v>
      </c>
      <c r="F83" s="94">
        <f t="shared" si="22"/>
        <v>2.1425265687333946E-2</v>
      </c>
      <c r="G83" s="94">
        <f t="shared" si="22"/>
        <v>2.6099230412950061E-2</v>
      </c>
      <c r="H83" s="94">
        <f t="shared" si="22"/>
        <v>2.2714920659280394E-2</v>
      </c>
      <c r="I83" s="94">
        <f t="shared" si="22"/>
        <v>1.707010888827367E-2</v>
      </c>
    </row>
    <row r="84" spans="3:9" x14ac:dyDescent="0.25">
      <c r="C84" t="str">
        <f t="shared" ref="C84:C86" si="23">C77</f>
        <v>Urban</v>
      </c>
      <c r="D84" s="94">
        <f t="shared" ref="D84:I86" si="24">D77/D$80</f>
        <v>0.43513217720000691</v>
      </c>
      <c r="E84" s="94">
        <f t="shared" si="24"/>
        <v>0.24270592114985948</v>
      </c>
      <c r="F84" s="94">
        <f t="shared" si="24"/>
        <v>0.18197033780989974</v>
      </c>
      <c r="G84" s="94">
        <f t="shared" si="24"/>
        <v>0.14527117519605065</v>
      </c>
      <c r="H84" s="94">
        <f t="shared" si="24"/>
        <v>0.11696840442386948</v>
      </c>
      <c r="I84" s="94">
        <f t="shared" si="24"/>
        <v>0.10139174939968464</v>
      </c>
    </row>
    <row r="85" spans="3:9" x14ac:dyDescent="0.25">
      <c r="C85" t="str">
        <f t="shared" si="23"/>
        <v>Services</v>
      </c>
      <c r="D85" s="94">
        <f t="shared" si="24"/>
        <v>0.13384182705410286</v>
      </c>
      <c r="E85" s="94">
        <f t="shared" si="24"/>
        <v>5.9674757468191515E-2</v>
      </c>
      <c r="F85" s="94">
        <f t="shared" si="24"/>
        <v>4.2810259307114483E-2</v>
      </c>
      <c r="G85" s="94">
        <f t="shared" si="24"/>
        <v>3.4674366096867845E-2</v>
      </c>
      <c r="H85" s="94">
        <f t="shared" si="24"/>
        <v>2.9597111918346332E-2</v>
      </c>
      <c r="I85" s="94">
        <f t="shared" si="24"/>
        <v>2.6165375835092999E-2</v>
      </c>
    </row>
    <row r="86" spans="3:9" x14ac:dyDescent="0.25">
      <c r="C86" t="str">
        <f t="shared" si="23"/>
        <v>Industry</v>
      </c>
      <c r="D86" s="94">
        <f t="shared" si="24"/>
        <v>0.42663072122871837</v>
      </c>
      <c r="E86" s="94">
        <f t="shared" si="24"/>
        <v>0.6815226827599461</v>
      </c>
      <c r="F86" s="94">
        <f t="shared" si="24"/>
        <v>0.75379413719565191</v>
      </c>
      <c r="G86" s="94">
        <f t="shared" si="24"/>
        <v>0.79395522829413157</v>
      </c>
      <c r="H86" s="94">
        <f t="shared" si="24"/>
        <v>0.8307195629985038</v>
      </c>
      <c r="I86" s="94">
        <f t="shared" si="24"/>
        <v>0.85537276587694866</v>
      </c>
    </row>
    <row r="92" spans="3:9" x14ac:dyDescent="0.25">
      <c r="C92" t="s">
        <v>517</v>
      </c>
    </row>
    <row r="93" spans="3:9" x14ac:dyDescent="0.25">
      <c r="C93" t="s">
        <v>530</v>
      </c>
    </row>
    <row r="94" spans="3:9" x14ac:dyDescent="0.25">
      <c r="D94">
        <v>2004</v>
      </c>
      <c r="E94">
        <v>2010</v>
      </c>
      <c r="F94">
        <v>2015</v>
      </c>
      <c r="G94">
        <v>2020</v>
      </c>
      <c r="H94">
        <v>2025</v>
      </c>
      <c r="I94">
        <v>2030</v>
      </c>
    </row>
    <row r="95" spans="3:9" x14ac:dyDescent="0.25">
      <c r="C95" t="s">
        <v>518</v>
      </c>
      <c r="D95" s="87">
        <v>11.31844002918336</v>
      </c>
      <c r="E95" s="87">
        <v>24.570059521323593</v>
      </c>
      <c r="F95" s="87">
        <v>35.581244132652799</v>
      </c>
      <c r="G95" s="87">
        <v>46.5829475973363</v>
      </c>
      <c r="H95" s="87">
        <v>57.441417520182171</v>
      </c>
      <c r="I95" s="87">
        <v>65.229273680073817</v>
      </c>
    </row>
    <row r="96" spans="3:9" x14ac:dyDescent="0.25">
      <c r="C96" t="s">
        <v>519</v>
      </c>
      <c r="D96" s="87">
        <v>236.66092368534802</v>
      </c>
      <c r="E96" s="87">
        <v>344.87362303509059</v>
      </c>
      <c r="F96" s="87">
        <v>454.37341032889015</v>
      </c>
      <c r="G96" s="87">
        <v>567.66733422378286</v>
      </c>
      <c r="H96" s="87">
        <v>694.60791281408194</v>
      </c>
      <c r="I96" s="87">
        <v>818.12357802266649</v>
      </c>
    </row>
    <row r="97" spans="3:10" x14ac:dyDescent="0.25">
      <c r="C97" t="s">
        <v>520</v>
      </c>
      <c r="D97" s="87">
        <v>123.13044066768214</v>
      </c>
      <c r="E97" s="87">
        <v>140.30910024878403</v>
      </c>
      <c r="F97" s="87">
        <v>178.61893027103471</v>
      </c>
      <c r="G97" s="87">
        <v>220.89990308475819</v>
      </c>
      <c r="H97" s="87">
        <v>270.45043947841566</v>
      </c>
      <c r="I97" s="87">
        <v>330.39957592693042</v>
      </c>
    </row>
    <row r="98" spans="3:10" x14ac:dyDescent="0.25">
      <c r="C98" t="s">
        <v>521</v>
      </c>
      <c r="D98" s="87">
        <v>493.70581772105811</v>
      </c>
      <c r="E98" s="87">
        <v>451.21399928878475</v>
      </c>
      <c r="F98" s="87">
        <v>544.4020063370333</v>
      </c>
      <c r="G98" s="87">
        <v>696.48923689947947</v>
      </c>
      <c r="H98" s="87">
        <v>917.56556917976695</v>
      </c>
      <c r="I98" s="87">
        <v>1220.0348316608595</v>
      </c>
    </row>
    <row r="99" spans="3:10" x14ac:dyDescent="0.25">
      <c r="C99" t="s">
        <v>482</v>
      </c>
      <c r="D99" s="87">
        <f>SUM(D95:D98)</f>
        <v>864.81562210327161</v>
      </c>
      <c r="E99" s="87">
        <f t="shared" ref="E99:I99" si="25">SUM(E95:E98)</f>
        <v>960.96678209398294</v>
      </c>
      <c r="F99" s="87">
        <f t="shared" si="25"/>
        <v>1212.9755910696108</v>
      </c>
      <c r="G99" s="87">
        <f t="shared" si="25"/>
        <v>1531.639421805357</v>
      </c>
      <c r="H99" s="87">
        <f t="shared" si="25"/>
        <v>1940.0653389924469</v>
      </c>
      <c r="I99" s="87">
        <f t="shared" si="25"/>
        <v>2433.7872592905305</v>
      </c>
    </row>
    <row r="101" spans="3:10" x14ac:dyDescent="0.25">
      <c r="C101" t="s">
        <v>522</v>
      </c>
    </row>
    <row r="102" spans="3:10" x14ac:dyDescent="0.25">
      <c r="C102" t="str">
        <f>C95</f>
        <v>Rural</v>
      </c>
      <c r="D102" s="94">
        <f>D95/D$99</f>
        <v>1.308769145688695E-2</v>
      </c>
      <c r="E102" s="94">
        <f t="shared" ref="E102:I102" si="26">E95/E$99</f>
        <v>2.5568063307853894E-2</v>
      </c>
      <c r="F102" s="94">
        <f t="shared" si="26"/>
        <v>2.9333850074655662E-2</v>
      </c>
      <c r="G102" s="94">
        <f t="shared" si="26"/>
        <v>3.0413782078309637E-2</v>
      </c>
      <c r="H102" s="94">
        <f t="shared" si="26"/>
        <v>2.9607980909557297E-2</v>
      </c>
      <c r="I102" s="94">
        <f t="shared" si="26"/>
        <v>2.6801551134378401E-2</v>
      </c>
    </row>
    <row r="103" spans="3:10" x14ac:dyDescent="0.25">
      <c r="C103" t="str">
        <f t="shared" ref="C103:C105" si="27">C96</f>
        <v>Urban</v>
      </c>
      <c r="D103" s="94">
        <f t="shared" ref="D103:I105" si="28">D96/D$99</f>
        <v>0.27365477407748223</v>
      </c>
      <c r="E103" s="94">
        <f t="shared" si="28"/>
        <v>0.35888194000171153</v>
      </c>
      <c r="F103" s="94">
        <f t="shared" si="28"/>
        <v>0.37459402618994198</v>
      </c>
      <c r="G103" s="94">
        <f t="shared" si="28"/>
        <v>0.37062726784262862</v>
      </c>
      <c r="H103" s="94">
        <f t="shared" si="28"/>
        <v>0.35803325736174407</v>
      </c>
      <c r="I103" s="94">
        <f t="shared" si="28"/>
        <v>0.33615246151841405</v>
      </c>
    </row>
    <row r="104" spans="3:10" x14ac:dyDescent="0.25">
      <c r="C104" t="str">
        <f t="shared" si="27"/>
        <v>Services</v>
      </c>
      <c r="D104" s="94">
        <f t="shared" si="28"/>
        <v>0.1423776785717899</v>
      </c>
      <c r="E104" s="94">
        <f t="shared" si="28"/>
        <v>0.14600827298425986</v>
      </c>
      <c r="F104" s="94">
        <f t="shared" si="28"/>
        <v>0.14725682164265749</v>
      </c>
      <c r="G104" s="94">
        <f t="shared" si="28"/>
        <v>0.14422448256416742</v>
      </c>
      <c r="H104" s="94">
        <f t="shared" si="28"/>
        <v>0.13940274796047403</v>
      </c>
      <c r="I104" s="94">
        <f t="shared" si="28"/>
        <v>0.13575532317612868</v>
      </c>
    </row>
    <row r="105" spans="3:10" x14ac:dyDescent="0.25">
      <c r="C105" t="str">
        <f t="shared" si="27"/>
        <v>Industry</v>
      </c>
      <c r="D105" s="94">
        <f t="shared" si="28"/>
        <v>0.57087985589384094</v>
      </c>
      <c r="E105" s="94">
        <f t="shared" si="28"/>
        <v>0.4695417237061747</v>
      </c>
      <c r="F105" s="94">
        <f t="shared" si="28"/>
        <v>0.44881530209274501</v>
      </c>
      <c r="G105" s="94">
        <f t="shared" si="28"/>
        <v>0.45473446751489421</v>
      </c>
      <c r="H105" s="94">
        <f t="shared" si="28"/>
        <v>0.47295601376822455</v>
      </c>
      <c r="I105" s="94">
        <f t="shared" si="28"/>
        <v>0.5012906641710787</v>
      </c>
    </row>
    <row r="109" spans="3:10" x14ac:dyDescent="0.25">
      <c r="C109" t="s">
        <v>531</v>
      </c>
    </row>
    <row r="110" spans="3:10" x14ac:dyDescent="0.25">
      <c r="C110" t="s">
        <v>532</v>
      </c>
    </row>
    <row r="111" spans="3:10" x14ac:dyDescent="0.25">
      <c r="D111">
        <v>2002</v>
      </c>
      <c r="E111">
        <v>2005</v>
      </c>
      <c r="F111">
        <v>2010</v>
      </c>
      <c r="G111">
        <v>2015</v>
      </c>
      <c r="H111">
        <v>2020</v>
      </c>
      <c r="I111">
        <v>2025</v>
      </c>
      <c r="J111">
        <v>2030</v>
      </c>
    </row>
    <row r="112" spans="3:10" x14ac:dyDescent="0.25">
      <c r="C112" t="s">
        <v>518</v>
      </c>
      <c r="D112" s="87"/>
      <c r="E112" s="87"/>
      <c r="F112" s="87"/>
      <c r="G112" s="87"/>
      <c r="H112" s="87"/>
      <c r="I112" s="87"/>
    </row>
    <row r="113" spans="3:10" x14ac:dyDescent="0.25">
      <c r="C113" t="s">
        <v>519</v>
      </c>
      <c r="D113" s="87">
        <v>5.2000000000000011</v>
      </c>
      <c r="E113" s="87">
        <v>7.9297112013794901</v>
      </c>
      <c r="F113" s="87">
        <v>26.760095731238842</v>
      </c>
      <c r="G113" s="87">
        <v>62.662918311298554</v>
      </c>
      <c r="H113" s="87">
        <v>115.86098017818141</v>
      </c>
      <c r="I113" s="87">
        <v>192.20034720688886</v>
      </c>
      <c r="J113">
        <f>FORECAST($J$111,D113:I113,$D$111:$I$111)</f>
        <v>205.04901445204632</v>
      </c>
    </row>
    <row r="114" spans="3:10" x14ac:dyDescent="0.25">
      <c r="C114" t="s">
        <v>520</v>
      </c>
      <c r="D114" s="87">
        <v>19.900000000000002</v>
      </c>
      <c r="E114" s="87">
        <v>25.065720500938301</v>
      </c>
      <c r="F114" s="87">
        <v>36.341749175153808</v>
      </c>
      <c r="G114" s="87">
        <v>53.706663199323302</v>
      </c>
      <c r="H114" s="87">
        <v>78.917949333763488</v>
      </c>
      <c r="I114" s="87">
        <v>115.08371519832735</v>
      </c>
      <c r="J114">
        <f t="shared" ref="J114:J116" si="29">FORECAST($J$111,D114:I114,$D$111:$I$111)</f>
        <v>123.67372163249638</v>
      </c>
    </row>
    <row r="115" spans="3:10" x14ac:dyDescent="0.25">
      <c r="C115" t="s">
        <v>521</v>
      </c>
      <c r="D115" s="87">
        <v>10.868</v>
      </c>
      <c r="E115" s="87">
        <v>13.961805128157723</v>
      </c>
      <c r="F115" s="87">
        <v>27.57392865506764</v>
      </c>
      <c r="G115" s="87">
        <v>59.597837207580852</v>
      </c>
      <c r="H115" s="87">
        <v>123.63403809589157</v>
      </c>
      <c r="I115" s="87">
        <v>234.4196369124148</v>
      </c>
      <c r="J115">
        <f t="shared" si="29"/>
        <v>234.79922905896456</v>
      </c>
    </row>
    <row r="116" spans="3:10" x14ac:dyDescent="0.25">
      <c r="C116" t="s">
        <v>482</v>
      </c>
      <c r="D116" s="87">
        <f>SUM(D112:D115)</f>
        <v>35.968000000000004</v>
      </c>
      <c r="E116" s="87">
        <f t="shared" ref="E116:I116" si="30">SUM(E112:E115)</f>
        <v>46.957236830475509</v>
      </c>
      <c r="F116" s="87">
        <f t="shared" si="30"/>
        <v>90.675773561460289</v>
      </c>
      <c r="G116" s="87">
        <f t="shared" si="30"/>
        <v>175.96741871820271</v>
      </c>
      <c r="H116" s="87">
        <f t="shared" si="30"/>
        <v>318.41296760783649</v>
      </c>
      <c r="I116" s="87">
        <f t="shared" si="30"/>
        <v>541.70369931763105</v>
      </c>
      <c r="J116">
        <f t="shared" si="29"/>
        <v>563.52196514350362</v>
      </c>
    </row>
    <row r="118" spans="3:10" x14ac:dyDescent="0.25">
      <c r="C118" t="s">
        <v>522</v>
      </c>
    </row>
    <row r="119" spans="3:10" x14ac:dyDescent="0.25">
      <c r="C119" t="str">
        <f>C112</f>
        <v>Rural</v>
      </c>
      <c r="D119" s="94">
        <f>D112/D$116</f>
        <v>0</v>
      </c>
      <c r="E119" s="94">
        <f t="shared" ref="E119:J122" si="31">E112/E$116</f>
        <v>0</v>
      </c>
      <c r="F119" s="94">
        <f t="shared" si="31"/>
        <v>0</v>
      </c>
      <c r="G119" s="94">
        <f t="shared" si="31"/>
        <v>0</v>
      </c>
      <c r="H119" s="94">
        <f t="shared" si="31"/>
        <v>0</v>
      </c>
      <c r="I119" s="94">
        <f t="shared" si="31"/>
        <v>0</v>
      </c>
      <c r="J119" s="94">
        <f t="shared" si="31"/>
        <v>0</v>
      </c>
    </row>
    <row r="120" spans="3:10" x14ac:dyDescent="0.25">
      <c r="C120" t="str">
        <f t="shared" ref="C120:C122" si="32">C113</f>
        <v>Urban</v>
      </c>
      <c r="D120" s="94">
        <f t="shared" ref="D120:I122" si="33">D113/D$116</f>
        <v>0.14457295373665482</v>
      </c>
      <c r="E120" s="94">
        <f t="shared" si="33"/>
        <v>0.16887090758783879</v>
      </c>
      <c r="F120" s="94">
        <f t="shared" si="33"/>
        <v>0.29511847189371676</v>
      </c>
      <c r="G120" s="94">
        <f t="shared" si="33"/>
        <v>0.35610523111467607</v>
      </c>
      <c r="H120" s="94">
        <f t="shared" si="33"/>
        <v>0.36387016850669851</v>
      </c>
      <c r="I120" s="94">
        <f t="shared" si="33"/>
        <v>0.35480715278296648</v>
      </c>
      <c r="J120" s="94">
        <f t="shared" si="31"/>
        <v>0.36387049154300416</v>
      </c>
    </row>
    <row r="121" spans="3:10" x14ac:dyDescent="0.25">
      <c r="C121" t="str">
        <f t="shared" si="32"/>
        <v>Services</v>
      </c>
      <c r="D121" s="94">
        <f t="shared" si="33"/>
        <v>0.55326957295373669</v>
      </c>
      <c r="E121" s="94">
        <f t="shared" si="33"/>
        <v>0.53379888155323718</v>
      </c>
      <c r="F121" s="94">
        <f t="shared" si="33"/>
        <v>0.40078785928990474</v>
      </c>
      <c r="G121" s="94">
        <f t="shared" si="33"/>
        <v>0.3052079958354682</v>
      </c>
      <c r="H121" s="94">
        <f t="shared" si="33"/>
        <v>0.2478477868745608</v>
      </c>
      <c r="I121" s="94">
        <f t="shared" si="33"/>
        <v>0.21244771882358396</v>
      </c>
      <c r="J121" s="94">
        <f t="shared" si="31"/>
        <v>0.21946566288858371</v>
      </c>
    </row>
    <row r="122" spans="3:10" x14ac:dyDescent="0.25">
      <c r="C122" t="str">
        <f t="shared" si="32"/>
        <v>Industry</v>
      </c>
      <c r="D122" s="94">
        <f t="shared" si="33"/>
        <v>0.30215747330960852</v>
      </c>
      <c r="E122" s="94">
        <f t="shared" si="33"/>
        <v>0.29733021085892414</v>
      </c>
      <c r="F122" s="94">
        <f t="shared" si="33"/>
        <v>0.30409366881637856</v>
      </c>
      <c r="G122" s="94">
        <f t="shared" si="33"/>
        <v>0.33868677304985573</v>
      </c>
      <c r="H122" s="94">
        <f t="shared" si="33"/>
        <v>0.38828204461874061</v>
      </c>
      <c r="I122" s="94">
        <f t="shared" si="33"/>
        <v>0.43274512839344947</v>
      </c>
      <c r="J122" s="94">
        <f t="shared" si="31"/>
        <v>0.41666384556841857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5" tint="-0.249977111117893"/>
  </sheetPr>
  <dimension ref="A1:AA51"/>
  <sheetViews>
    <sheetView workbookViewId="0">
      <pane xSplit="2" ySplit="2" topLeftCell="C33" activePane="bottomRight" state="frozen"/>
      <selection activeCell="D20" sqref="D20"/>
      <selection pane="topRight" activeCell="D20" sqref="D20"/>
      <selection pane="bottomLeft" activeCell="D20" sqref="D20"/>
      <selection pane="bottomRight" activeCell="C41" sqref="C41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70</v>
      </c>
      <c r="B2" s="26" t="str">
        <f>VLOOKUP(A2,General!$A$9:$B$23,2,FALSE)</f>
        <v>GHA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0.17071129707112975</v>
      </c>
      <c r="E4" s="27">
        <f t="shared" ref="E4:R4" ca="1" si="1">E42</f>
        <v>6.4127437965894041E-2</v>
      </c>
      <c r="F4" s="27">
        <f t="shared" ca="1" si="1"/>
        <v>6.4485174167546289E-2</v>
      </c>
      <c r="G4" s="27">
        <f t="shared" ca="1" si="1"/>
        <v>6.0488596412151763E-2</v>
      </c>
      <c r="H4" s="27">
        <f t="shared" ca="1" si="1"/>
        <v>6.1203672220333294E-2</v>
      </c>
      <c r="I4" s="27">
        <f t="shared" ca="1" si="1"/>
        <v>6.1518743992310165E-2</v>
      </c>
      <c r="J4" s="27">
        <f t="shared" ca="1" si="1"/>
        <v>6.1726531844249921E-2</v>
      </c>
      <c r="K4" s="27">
        <f t="shared" ca="1" si="1"/>
        <v>6.1904761904761907E-2</v>
      </c>
      <c r="L4" s="27">
        <f t="shared" ca="1" si="1"/>
        <v>6.2110969814604067E-2</v>
      </c>
      <c r="M4" s="27">
        <f t="shared" ca="1" si="1"/>
        <v>6.2259751717184342E-2</v>
      </c>
      <c r="N4" s="27">
        <f t="shared" ca="1" si="1"/>
        <v>6.234798599988145E-2</v>
      </c>
      <c r="O4" s="27">
        <f t="shared" ca="1" si="1"/>
        <v>6.2486039758766987E-2</v>
      </c>
      <c r="P4" s="27">
        <f t="shared" ca="1" si="1"/>
        <v>6.2595259368266154E-2</v>
      </c>
      <c r="Q4" s="27">
        <f t="shared" ca="1" si="1"/>
        <v>6.2666930458007641E-2</v>
      </c>
      <c r="R4" s="27">
        <f t="shared" ca="1" si="1"/>
        <v>6.2694903420991377E-2</v>
      </c>
      <c r="S4" s="17">
        <f ca="1">$W$4</f>
        <v>6.3170531680205089E-2</v>
      </c>
      <c r="T4" s="17">
        <f t="shared" ref="T4:V4" ca="1" si="2">$W$4</f>
        <v>6.3170531680205089E-2</v>
      </c>
      <c r="U4" s="17">
        <f t="shared" ca="1" si="2"/>
        <v>6.3170531680205089E-2</v>
      </c>
      <c r="V4" s="17">
        <f t="shared" ca="1" si="2"/>
        <v>6.3170531680205089E-2</v>
      </c>
      <c r="W4" s="17">
        <f ca="1">SUMIF(SourceData!$AO$3:$BA$3,$B$2,SourceData!$AO$25:$BA$25)</f>
        <v>6.3170531680205089E-2</v>
      </c>
      <c r="X4" s="73">
        <f ca="1">W4</f>
        <v>6.3170531680205089E-2</v>
      </c>
      <c r="Y4" s="17">
        <f ca="1">SUMIF(SourceData!$AO$3:$BA$3,$B$2,SourceData!$AO$27:$BA$27)</f>
        <v>6.3170531680205089E-2</v>
      </c>
      <c r="Z4" s="17">
        <f ca="1">SUMIF(SourceData!$AO$3:$BA$3,$B$2,SourceData!$AO$28:$BA$28)</f>
        <v>6.3170531680205089E-2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7110.25</v>
      </c>
      <c r="D5" s="7">
        <f t="shared" ref="D5:X5" ca="1" si="3">C5*(1+D4)</f>
        <v>8324.0500000000011</v>
      </c>
      <c r="E5" s="7">
        <f t="shared" ca="1" si="3"/>
        <v>8857.8500000000022</v>
      </c>
      <c r="F5" s="7">
        <f t="shared" ca="1" si="3"/>
        <v>9429.0500000000029</v>
      </c>
      <c r="G5" s="7">
        <f t="shared" ca="1" si="3"/>
        <v>9999.4000000000033</v>
      </c>
      <c r="H5" s="7">
        <f t="shared" ca="1" si="3"/>
        <v>10611.400000000005</v>
      </c>
      <c r="I5" s="7">
        <f t="shared" ca="1" si="3"/>
        <v>11264.200000000006</v>
      </c>
      <c r="J5" s="7">
        <f t="shared" ca="1" si="3"/>
        <v>11959.500000000007</v>
      </c>
      <c r="K5" s="7">
        <f t="shared" ca="1" si="3"/>
        <v>12699.850000000008</v>
      </c>
      <c r="L5" s="7">
        <f t="shared" ca="1" si="3"/>
        <v>13488.650000000007</v>
      </c>
      <c r="M5" s="7">
        <f t="shared" ca="1" si="3"/>
        <v>14328.450000000006</v>
      </c>
      <c r="N5" s="7">
        <f t="shared" ca="1" si="3"/>
        <v>15221.800000000008</v>
      </c>
      <c r="O5" s="7">
        <f t="shared" ca="1" si="3"/>
        <v>16172.950000000008</v>
      </c>
      <c r="P5" s="7">
        <f t="shared" ca="1" si="3"/>
        <v>17185.30000000001</v>
      </c>
      <c r="Q5" s="7">
        <f t="shared" ca="1" si="3"/>
        <v>18262.250000000011</v>
      </c>
      <c r="R5" s="7">
        <f t="shared" ca="1" si="3"/>
        <v>19407.200000000012</v>
      </c>
      <c r="S5" s="7">
        <f t="shared" ca="1" si="3"/>
        <v>20633.163142424091</v>
      </c>
      <c r="T5" s="7">
        <f t="shared" ca="1" si="3"/>
        <v>21936.571028375434</v>
      </c>
      <c r="U5" s="7">
        <f t="shared" ca="1" si="3"/>
        <v>23322.315883478495</v>
      </c>
      <c r="V5" s="7">
        <f t="shared" ca="1" si="3"/>
        <v>24795.598977851525</v>
      </c>
      <c r="W5" s="7">
        <f t="shared" ca="1" si="3"/>
        <v>26361.950148611559</v>
      </c>
      <c r="X5" s="7">
        <f t="shared" ca="1" si="3"/>
        <v>28027.248555626415</v>
      </c>
      <c r="Y5" s="7">
        <f ca="1">W5*(1+Y4)^(Y2-W2)</f>
        <v>48641.486686702898</v>
      </c>
      <c r="Z5" s="7">
        <f t="shared" ref="Z5:AA5" ca="1" si="4">Y5*(1+Z4)^(Z2-Y2)</f>
        <v>89750.349035437655</v>
      </c>
      <c r="AA5" s="7">
        <f t="shared" ca="1" si="4"/>
        <v>89750.349035437655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7110.25</v>
      </c>
      <c r="D8" s="8">
        <f t="shared" ca="1" si="6"/>
        <v>8324.0500000000011</v>
      </c>
      <c r="E8" s="8">
        <f t="shared" ca="1" si="6"/>
        <v>8857.8500000000022</v>
      </c>
      <c r="F8" s="8">
        <f t="shared" ca="1" si="6"/>
        <v>9429.0500000000029</v>
      </c>
      <c r="G8" s="8">
        <f t="shared" ca="1" si="6"/>
        <v>9999.4000000000033</v>
      </c>
      <c r="H8" s="8">
        <f t="shared" ca="1" si="6"/>
        <v>10611.400000000005</v>
      </c>
      <c r="I8" s="8">
        <f t="shared" ca="1" si="6"/>
        <v>11264.200000000006</v>
      </c>
      <c r="J8" s="8">
        <f t="shared" ca="1" si="6"/>
        <v>11959.500000000007</v>
      </c>
      <c r="K8" s="8">
        <f t="shared" ca="1" si="6"/>
        <v>12699.850000000008</v>
      </c>
      <c r="L8" s="8">
        <f t="shared" ca="1" si="6"/>
        <v>13488.650000000007</v>
      </c>
      <c r="M8" s="8">
        <f t="shared" ca="1" si="6"/>
        <v>14328.450000000006</v>
      </c>
      <c r="N8" s="8">
        <f t="shared" ca="1" si="6"/>
        <v>15221.800000000008</v>
      </c>
      <c r="O8" s="8">
        <f t="shared" ca="1" si="6"/>
        <v>16172.950000000008</v>
      </c>
      <c r="P8" s="8">
        <f t="shared" ca="1" si="6"/>
        <v>17185.30000000001</v>
      </c>
      <c r="Q8" s="8">
        <f t="shared" ca="1" si="6"/>
        <v>18262.250000000011</v>
      </c>
      <c r="R8" s="8">
        <f t="shared" ca="1" si="6"/>
        <v>19407.200000000012</v>
      </c>
      <c r="S8" s="8">
        <f t="shared" ca="1" si="6"/>
        <v>20633.163142424091</v>
      </c>
      <c r="T8" s="8">
        <f t="shared" ca="1" si="6"/>
        <v>21936.571028375434</v>
      </c>
      <c r="U8" s="8">
        <f t="shared" ca="1" si="6"/>
        <v>23322.315883478495</v>
      </c>
      <c r="V8" s="8">
        <f t="shared" ca="1" si="6"/>
        <v>24795.598977851525</v>
      </c>
      <c r="W8" s="8">
        <f t="shared" ca="1" si="6"/>
        <v>26361.950148611559</v>
      </c>
      <c r="X8" s="8">
        <f t="shared" ca="1" si="6"/>
        <v>28027.248555626415</v>
      </c>
      <c r="Y8" s="8">
        <f t="shared" ca="1" si="6"/>
        <v>48641.486686702898</v>
      </c>
      <c r="Z8" s="8">
        <f t="shared" ca="1" si="6"/>
        <v>89750.349035437655</v>
      </c>
      <c r="AA8" s="8">
        <f t="shared" ca="1" si="6"/>
        <v>89750.349035437655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8365</v>
      </c>
      <c r="D11" s="8">
        <f t="shared" ca="1" si="8"/>
        <v>9793.0000000000018</v>
      </c>
      <c r="E11" s="8">
        <f t="shared" ca="1" si="8"/>
        <v>10421.000000000004</v>
      </c>
      <c r="F11" s="8">
        <f t="shared" ca="1" si="8"/>
        <v>11093.000000000004</v>
      </c>
      <c r="G11" s="8">
        <f t="shared" ca="1" si="8"/>
        <v>11764.000000000004</v>
      </c>
      <c r="H11" s="8">
        <f t="shared" ca="1" si="8"/>
        <v>12484.000000000005</v>
      </c>
      <c r="I11" s="8">
        <f t="shared" ca="1" si="8"/>
        <v>13252.000000000007</v>
      </c>
      <c r="J11" s="8">
        <f t="shared" ca="1" si="8"/>
        <v>14070.000000000009</v>
      </c>
      <c r="K11" s="8">
        <f t="shared" ca="1" si="8"/>
        <v>14941.000000000009</v>
      </c>
      <c r="L11" s="8">
        <f t="shared" ca="1" si="8"/>
        <v>15869.000000000009</v>
      </c>
      <c r="M11" s="8">
        <f t="shared" ca="1" si="8"/>
        <v>16857.000000000007</v>
      </c>
      <c r="N11" s="8">
        <f t="shared" ca="1" si="8"/>
        <v>17908.000000000011</v>
      </c>
      <c r="O11" s="8">
        <f t="shared" ca="1" si="8"/>
        <v>19027.000000000011</v>
      </c>
      <c r="P11" s="8">
        <f t="shared" ca="1" si="8"/>
        <v>20218.000000000011</v>
      </c>
      <c r="Q11" s="8">
        <f t="shared" ca="1" si="8"/>
        <v>21485.000000000015</v>
      </c>
      <c r="R11" s="8">
        <f t="shared" ca="1" si="8"/>
        <v>22832.000000000015</v>
      </c>
      <c r="S11" s="8">
        <f t="shared" ca="1" si="8"/>
        <v>24274.30957932246</v>
      </c>
      <c r="T11" s="8">
        <f t="shared" ca="1" si="8"/>
        <v>25807.730621618157</v>
      </c>
      <c r="U11" s="8">
        <f t="shared" ca="1" si="8"/>
        <v>27438.018686445288</v>
      </c>
      <c r="V11" s="8">
        <f t="shared" ca="1" si="8"/>
        <v>29171.29291511944</v>
      </c>
      <c r="W11" s="8">
        <f t="shared" ca="1" si="8"/>
        <v>31014.058998366541</v>
      </c>
      <c r="X11" s="8">
        <f t="shared" ca="1" si="8"/>
        <v>32973.23359485461</v>
      </c>
      <c r="Y11" s="8">
        <f t="shared" ca="1" si="8"/>
        <v>57225.278454944586</v>
      </c>
      <c r="Z11" s="8">
        <f t="shared" ca="1" si="8"/>
        <v>105588.64592404431</v>
      </c>
      <c r="AA11" s="8">
        <f t="shared" ca="1" si="8"/>
        <v>105588.64592404431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8365</v>
      </c>
      <c r="D20" s="39">
        <f t="shared" ca="1" si="13"/>
        <v>9793.0000000000018</v>
      </c>
      <c r="E20" s="39">
        <f t="shared" ca="1" si="13"/>
        <v>10421.000000000004</v>
      </c>
      <c r="F20" s="39">
        <f t="shared" ca="1" si="13"/>
        <v>11093.000000000004</v>
      </c>
      <c r="G20" s="39">
        <f t="shared" ca="1" si="13"/>
        <v>11764.000000000004</v>
      </c>
      <c r="H20" s="39">
        <f t="shared" ca="1" si="13"/>
        <v>12484.000000000005</v>
      </c>
      <c r="I20" s="39">
        <f t="shared" ca="1" si="13"/>
        <v>13252.000000000007</v>
      </c>
      <c r="J20" s="39">
        <f t="shared" ca="1" si="13"/>
        <v>14070.000000000009</v>
      </c>
      <c r="K20" s="39">
        <f t="shared" ca="1" si="13"/>
        <v>14941.000000000009</v>
      </c>
      <c r="L20" s="39">
        <f t="shared" ca="1" si="13"/>
        <v>15869.000000000009</v>
      </c>
      <c r="M20" s="39">
        <f t="shared" ca="1" si="13"/>
        <v>16857.000000000007</v>
      </c>
      <c r="N20" s="39">
        <f t="shared" ca="1" si="13"/>
        <v>17908.000000000011</v>
      </c>
      <c r="O20" s="39">
        <f t="shared" ca="1" si="13"/>
        <v>19027.000000000011</v>
      </c>
      <c r="P20" s="39">
        <f t="shared" ca="1" si="13"/>
        <v>20218.000000000011</v>
      </c>
      <c r="Q20" s="39">
        <f t="shared" ca="1" si="13"/>
        <v>21485.000000000015</v>
      </c>
      <c r="R20" s="39">
        <f t="shared" ca="1" si="13"/>
        <v>22832.000000000015</v>
      </c>
      <c r="S20" s="39">
        <f t="shared" ca="1" si="13"/>
        <v>24274.30957932246</v>
      </c>
      <c r="T20" s="39">
        <f t="shared" ca="1" si="13"/>
        <v>25807.730621618157</v>
      </c>
      <c r="U20" s="39">
        <f t="shared" ca="1" si="13"/>
        <v>27438.018686445288</v>
      </c>
      <c r="V20" s="39">
        <f t="shared" ca="1" si="13"/>
        <v>29171.29291511944</v>
      </c>
      <c r="W20" s="39">
        <f t="shared" ca="1" si="13"/>
        <v>31014.058998366541</v>
      </c>
      <c r="X20" s="39">
        <f t="shared" ca="1" si="13"/>
        <v>32973.23359485461</v>
      </c>
      <c r="Y20" s="39">
        <f t="shared" ca="1" si="13"/>
        <v>57225.278454944586</v>
      </c>
      <c r="Z20" s="39">
        <f t="shared" ca="1" si="13"/>
        <v>105588.64592404431</v>
      </c>
      <c r="AA20" s="39">
        <f t="shared" ca="1" si="13"/>
        <v>105588.64592404431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1506</v>
      </c>
      <c r="D33" s="23">
        <f ca="1">D20/(D34*8.76)</f>
        <v>1479.0000000000002</v>
      </c>
      <c r="E33" s="23">
        <f ca="1">E20/(E34*8.76)</f>
        <v>1573.0000000000007</v>
      </c>
      <c r="F33" s="23">
        <f t="shared" ref="F33:X33" ca="1" si="14">F20/(F34*8.76)</f>
        <v>1675.0000000000005</v>
      </c>
      <c r="G33" s="23">
        <f t="shared" ca="1" si="14"/>
        <v>1780.0000000000005</v>
      </c>
      <c r="H33" s="23">
        <f t="shared" ca="1" si="14"/>
        <v>1888.0000000000009</v>
      </c>
      <c r="I33" s="23">
        <f t="shared" ca="1" si="14"/>
        <v>2007.0000000000011</v>
      </c>
      <c r="J33" s="23">
        <f t="shared" ca="1" si="14"/>
        <v>2130.0000000000014</v>
      </c>
      <c r="K33" s="23">
        <f t="shared" ca="1" si="14"/>
        <v>2262.0000000000014</v>
      </c>
      <c r="L33" s="23">
        <f t="shared" ca="1" si="14"/>
        <v>2401.0000000000009</v>
      </c>
      <c r="M33" s="23">
        <f t="shared" ca="1" si="14"/>
        <v>2550.0000000000014</v>
      </c>
      <c r="N33" s="23">
        <f t="shared" ca="1" si="14"/>
        <v>2708.0000000000014</v>
      </c>
      <c r="O33" s="23">
        <f t="shared" ca="1" si="14"/>
        <v>2877.0000000000018</v>
      </c>
      <c r="P33" s="23">
        <f t="shared" ca="1" si="14"/>
        <v>3056.0000000000014</v>
      </c>
      <c r="Q33" s="23">
        <f t="shared" ca="1" si="14"/>
        <v>3247.0000000000018</v>
      </c>
      <c r="R33" s="23">
        <f t="shared" ca="1" si="14"/>
        <v>3450.0000000000023</v>
      </c>
      <c r="S33" s="23">
        <f t="shared" ca="1" si="14"/>
        <v>3667.9383342967103</v>
      </c>
      <c r="T33" s="23">
        <f t="shared" ca="1" si="14"/>
        <v>3899.6439490444395</v>
      </c>
      <c r="U33" s="23">
        <f t="shared" ca="1" si="14"/>
        <v>4145.9865306690717</v>
      </c>
      <c r="V33" s="23">
        <f t="shared" ca="1" si="14"/>
        <v>4407.8907041504062</v>
      </c>
      <c r="W33" s="23">
        <f t="shared" ca="1" si="14"/>
        <v>4686.3395035198218</v>
      </c>
      <c r="X33" s="23">
        <f t="shared" ca="1" si="14"/>
        <v>4982.3780615911182</v>
      </c>
    </row>
    <row r="34" spans="1:24" ht="15" x14ac:dyDescent="0.25">
      <c r="A34" s="1" t="s">
        <v>7</v>
      </c>
      <c r="C34" s="77">
        <f ca="1">C41/(C44*8.76)</f>
        <v>0.63406950584268706</v>
      </c>
      <c r="D34" s="77">
        <f ca="1">D41/(D44*8.76)</f>
        <v>0.75586367439433655</v>
      </c>
      <c r="E34" s="77">
        <f t="shared" ref="E34:R34" ca="1" si="15">E41/(E44*8.76)</f>
        <v>0.75626946735290446</v>
      </c>
      <c r="F34" s="77">
        <f t="shared" ca="1" si="15"/>
        <v>0.75601444830641318</v>
      </c>
      <c r="G34" s="77">
        <f t="shared" ca="1" si="15"/>
        <v>0.75445077215124934</v>
      </c>
      <c r="H34" s="77">
        <f t="shared" ca="1" si="15"/>
        <v>0.75482741273895204</v>
      </c>
      <c r="I34" s="77">
        <f t="shared" ca="1" si="15"/>
        <v>0.75375455312797901</v>
      </c>
      <c r="J34" s="77">
        <f t="shared" ca="1" si="15"/>
        <v>0.75406778570969202</v>
      </c>
      <c r="K34" s="77">
        <f t="shared" ca="1" si="15"/>
        <v>0.75402016238105052</v>
      </c>
      <c r="L34" s="77">
        <f t="shared" ca="1" si="15"/>
        <v>0.75448966279271013</v>
      </c>
      <c r="M34" s="77">
        <f t="shared" ca="1" si="15"/>
        <v>0.75463336019339244</v>
      </c>
      <c r="N34" s="77">
        <f t="shared" ca="1" si="15"/>
        <v>0.75490850717980895</v>
      </c>
      <c r="O34" s="77">
        <f t="shared" ca="1" si="15"/>
        <v>0.75496418612107041</v>
      </c>
      <c r="P34" s="77">
        <f t="shared" ca="1" si="15"/>
        <v>0.75523261373688122</v>
      </c>
      <c r="Q34" s="77">
        <f t="shared" ca="1" si="15"/>
        <v>0.75535126910263506</v>
      </c>
      <c r="R34" s="77">
        <f t="shared" ca="1" si="15"/>
        <v>0.75547614320693535</v>
      </c>
      <c r="S34" s="14">
        <f t="shared" ref="S34:X34" ca="1" si="16">R34</f>
        <v>0.75547614320693535</v>
      </c>
      <c r="T34" s="14">
        <f t="shared" ca="1" si="16"/>
        <v>0.75547614320693535</v>
      </c>
      <c r="U34" s="14">
        <f t="shared" ca="1" si="16"/>
        <v>0.75547614320693535</v>
      </c>
      <c r="V34" s="14">
        <f t="shared" ca="1" si="16"/>
        <v>0.75547614320693535</v>
      </c>
      <c r="W34" s="14">
        <f t="shared" ca="1" si="16"/>
        <v>0.75547614320693535</v>
      </c>
      <c r="X34" s="14">
        <f t="shared" ca="1" si="16"/>
        <v>0.75547614320693535</v>
      </c>
    </row>
    <row r="35" spans="1:24" ht="15" x14ac:dyDescent="0.25">
      <c r="A35" s="1" t="s">
        <v>8</v>
      </c>
      <c r="C35" s="15"/>
      <c r="D35" s="15">
        <f t="shared" ref="D35:X35" ca="1" si="17">D33/C33-1</f>
        <v>-1.7928286852589514E-2</v>
      </c>
      <c r="E35" s="15">
        <f t="shared" ca="1" si="17"/>
        <v>6.3556457065585104E-2</v>
      </c>
      <c r="F35" s="15">
        <f t="shared" ca="1" si="17"/>
        <v>6.4844246662428384E-2</v>
      </c>
      <c r="G35" s="15">
        <f t="shared" ca="1" si="17"/>
        <v>6.2686567164179197E-2</v>
      </c>
      <c r="H35" s="15">
        <f t="shared" ca="1" si="17"/>
        <v>6.0674157303371112E-2</v>
      </c>
      <c r="I35" s="15">
        <f t="shared" ca="1" si="17"/>
        <v>6.3029661016949179E-2</v>
      </c>
      <c r="J35" s="15">
        <f t="shared" ca="1" si="17"/>
        <v>6.1285500747384258E-2</v>
      </c>
      <c r="K35" s="15">
        <f t="shared" ca="1" si="17"/>
        <v>6.197183098591541E-2</v>
      </c>
      <c r="L35" s="15">
        <f t="shared" ca="1" si="17"/>
        <v>6.1450044208664734E-2</v>
      </c>
      <c r="M35" s="15">
        <f t="shared" ca="1" si="17"/>
        <v>6.2057476051645244E-2</v>
      </c>
      <c r="N35" s="15">
        <f t="shared" ca="1" si="17"/>
        <v>6.1960784313725537E-2</v>
      </c>
      <c r="O35" s="15">
        <f t="shared" ca="1" si="17"/>
        <v>6.2407680945347321E-2</v>
      </c>
      <c r="P35" s="15">
        <f t="shared" ca="1" si="17"/>
        <v>6.2217587765032834E-2</v>
      </c>
      <c r="Q35" s="15">
        <f t="shared" ca="1" si="17"/>
        <v>6.2500000000000222E-2</v>
      </c>
      <c r="R35" s="15">
        <f t="shared" ca="1" si="17"/>
        <v>6.2519248537111327E-2</v>
      </c>
      <c r="S35" s="15">
        <f t="shared" ca="1" si="17"/>
        <v>6.3170531680205144E-2</v>
      </c>
      <c r="T35" s="15">
        <f t="shared" ca="1" si="17"/>
        <v>6.3170531680205144E-2</v>
      </c>
      <c r="U35" s="15">
        <f t="shared" ca="1" si="17"/>
        <v>6.3170531680205144E-2</v>
      </c>
      <c r="V35" s="15">
        <f t="shared" ca="1" si="17"/>
        <v>6.3170531680205144E-2</v>
      </c>
      <c r="W35" s="15">
        <f t="shared" ca="1" si="17"/>
        <v>6.3170531680205366E-2</v>
      </c>
      <c r="X35" s="15">
        <f t="shared" ca="1" si="17"/>
        <v>6.3170531680205366E-2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1506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145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8365</v>
      </c>
      <c r="D41" s="74">
        <f ca="1">VALUE(OFFSET(SourceData!$A$4,$B$40+D$2-2011,SourceData!$D$1+General!$B$1))</f>
        <v>9793</v>
      </c>
      <c r="E41" s="74">
        <f ca="1">VALUE(OFFSET(SourceData!$A$4,$B$40+E$2-2011,SourceData!$D$1+General!$B$1))</f>
        <v>10421</v>
      </c>
      <c r="F41" s="74">
        <f ca="1">VALUE(OFFSET(SourceData!$A$4,$B$40+F$2-2011,SourceData!$D$1+General!$B$1))</f>
        <v>11093</v>
      </c>
      <c r="G41" s="74">
        <f ca="1">VALUE(OFFSET(SourceData!$A$4,$B$40+G$2-2011,SourceData!$D$1+General!$B$1))</f>
        <v>11764</v>
      </c>
      <c r="H41" s="74">
        <f ca="1">VALUE(OFFSET(SourceData!$A$4,$B$40+H$2-2011,SourceData!$D$1+General!$B$1))</f>
        <v>12484</v>
      </c>
      <c r="I41" s="74">
        <f ca="1">VALUE(OFFSET(SourceData!$A$4,$B$40+I$2-2011,SourceData!$D$1+General!$B$1))</f>
        <v>13252</v>
      </c>
      <c r="J41" s="74">
        <f ca="1">VALUE(OFFSET(SourceData!$A$4,$B$40+J$2-2011,SourceData!$D$1+General!$B$1))</f>
        <v>14070</v>
      </c>
      <c r="K41" s="74">
        <f ca="1">VALUE(OFFSET(SourceData!$A$4,$B$40+K$2-2011,SourceData!$D$1+General!$B$1))</f>
        <v>14941</v>
      </c>
      <c r="L41" s="74">
        <f ca="1">VALUE(OFFSET(SourceData!$A$4,$B$40+L$2-2011,SourceData!$D$1+General!$B$1))</f>
        <v>15869</v>
      </c>
      <c r="M41" s="74">
        <f ca="1">VALUE(OFFSET(SourceData!$A$4,$B$40+M$2-2011,SourceData!$D$1+General!$B$1))</f>
        <v>16857</v>
      </c>
      <c r="N41" s="74">
        <f ca="1">VALUE(OFFSET(SourceData!$A$4,$B$40+N$2-2011,SourceData!$D$1+General!$B$1))</f>
        <v>17908</v>
      </c>
      <c r="O41" s="74">
        <f ca="1">VALUE(OFFSET(SourceData!$A$4,$B$40+O$2-2011,SourceData!$D$1+General!$B$1))</f>
        <v>19027</v>
      </c>
      <c r="P41" s="74">
        <f ca="1">VALUE(OFFSET(SourceData!$A$4,$B$40+P$2-2011,SourceData!$D$1+General!$B$1))</f>
        <v>20218</v>
      </c>
      <c r="Q41" s="74">
        <f ca="1">VALUE(OFFSET(SourceData!$A$4,$B$40+Q$2-2011,SourceData!$D$1+General!$B$1))</f>
        <v>21485</v>
      </c>
      <c r="R41" s="74">
        <f ca="1">VALUE(OFFSET(SourceData!$A$4,$B$40+R$2-2011,SourceData!$D$1+General!$B$1))</f>
        <v>22832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0.17071129707112975</v>
      </c>
      <c r="E42" s="21">
        <f t="shared" ref="E42:R42" ca="1" si="18">E41/D41-1</f>
        <v>6.4127437965894041E-2</v>
      </c>
      <c r="F42" s="21">
        <f t="shared" ca="1" si="18"/>
        <v>6.4485174167546289E-2</v>
      </c>
      <c r="G42" s="21">
        <f t="shared" ca="1" si="18"/>
        <v>6.0488596412151763E-2</v>
      </c>
      <c r="H42" s="21">
        <f t="shared" ca="1" si="18"/>
        <v>6.1203672220333294E-2</v>
      </c>
      <c r="I42" s="21">
        <f t="shared" ca="1" si="18"/>
        <v>6.1518743992310165E-2</v>
      </c>
      <c r="J42" s="21">
        <f t="shared" ca="1" si="18"/>
        <v>6.1726531844249921E-2</v>
      </c>
      <c r="K42" s="21">
        <f t="shared" ca="1" si="18"/>
        <v>6.1904761904761907E-2</v>
      </c>
      <c r="L42" s="21">
        <f t="shared" ca="1" si="18"/>
        <v>6.2110969814604067E-2</v>
      </c>
      <c r="M42" s="21">
        <f t="shared" ca="1" si="18"/>
        <v>6.2259751717184342E-2</v>
      </c>
      <c r="N42" s="21">
        <f t="shared" ca="1" si="18"/>
        <v>6.234798599988145E-2</v>
      </c>
      <c r="O42" s="21">
        <f t="shared" ca="1" si="18"/>
        <v>6.2486039758766987E-2</v>
      </c>
      <c r="P42" s="21">
        <f t="shared" ca="1" si="18"/>
        <v>6.2595259368266154E-2</v>
      </c>
      <c r="Q42" s="21">
        <f t="shared" ca="1" si="18"/>
        <v>6.2666930458007641E-2</v>
      </c>
      <c r="R42" s="21">
        <f t="shared" ca="1" si="18"/>
        <v>6.2694903420991377E-2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1506</v>
      </c>
      <c r="D44" s="74">
        <f ca="1">VALUE(OFFSET(SourceData!$A$4,$B$40+D$2-2011,SourceData!$J$1+General!$B$1))</f>
        <v>1479</v>
      </c>
      <c r="E44" s="74">
        <f ca="1">VALUE(OFFSET(SourceData!$A$4,$B$40+E$2-2011,SourceData!$J$1+General!$B$1))</f>
        <v>1573</v>
      </c>
      <c r="F44" s="74">
        <f ca="1">VALUE(OFFSET(SourceData!$A$4,$B$40+F$2-2011,SourceData!$J$1+General!$B$1))</f>
        <v>1675</v>
      </c>
      <c r="G44" s="74">
        <f ca="1">VALUE(OFFSET(SourceData!$A$4,$B$40+G$2-2011,SourceData!$J$1+General!$B$1))</f>
        <v>1780</v>
      </c>
      <c r="H44" s="74">
        <f ca="1">VALUE(OFFSET(SourceData!$A$4,$B$40+H$2-2011,SourceData!$J$1+General!$B$1))</f>
        <v>1888</v>
      </c>
      <c r="I44" s="74">
        <f ca="1">VALUE(OFFSET(SourceData!$A$4,$B$40+I$2-2011,SourceData!$J$1+General!$B$1))</f>
        <v>2007</v>
      </c>
      <c r="J44" s="74">
        <f ca="1">VALUE(OFFSET(SourceData!$A$4,$B$40+J$2-2011,SourceData!$J$1+General!$B$1))</f>
        <v>2130</v>
      </c>
      <c r="K44" s="74">
        <f ca="1">VALUE(OFFSET(SourceData!$A$4,$B$40+K$2-2011,SourceData!$J$1+General!$B$1))</f>
        <v>2262</v>
      </c>
      <c r="L44" s="74">
        <f ca="1">VALUE(OFFSET(SourceData!$A$4,$B$40+L$2-2011,SourceData!$J$1+General!$B$1))</f>
        <v>2401</v>
      </c>
      <c r="M44" s="74">
        <f ca="1">VALUE(OFFSET(SourceData!$A$4,$B$40+M$2-2011,SourceData!$J$1+General!$B$1))</f>
        <v>2550</v>
      </c>
      <c r="N44" s="74">
        <f ca="1">VALUE(OFFSET(SourceData!$A$4,$B$40+N$2-2011,SourceData!$J$1+General!$B$1))</f>
        <v>2708</v>
      </c>
      <c r="O44" s="74">
        <f ca="1">VALUE(OFFSET(SourceData!$A$4,$B$40+O$2-2011,SourceData!$J$1+General!$B$1))</f>
        <v>2877</v>
      </c>
      <c r="P44" s="74">
        <f ca="1">VALUE(OFFSET(SourceData!$A$4,$B$40+P$2-2011,SourceData!$J$1+General!$B$1))</f>
        <v>3056</v>
      </c>
      <c r="Q44" s="74">
        <f ca="1">VALUE(OFFSET(SourceData!$A$4,$B$40+Q$2-2011,SourceData!$J$1+General!$B$1))</f>
        <v>3247</v>
      </c>
      <c r="R44" s="74">
        <f ca="1">VALUE(OFFSET(SourceData!$A$4,$B$40+R$2-2011,SourceData!$J$1+General!$B$1))</f>
        <v>3450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-1.7928286852589626E-2</v>
      </c>
      <c r="E45" s="17">
        <f t="shared" ref="E45:R45" ca="1" si="19">E44/D44-1</f>
        <v>6.3556457065584882E-2</v>
      </c>
      <c r="F45" s="17">
        <f t="shared" ca="1" si="19"/>
        <v>6.4844246662428384E-2</v>
      </c>
      <c r="G45" s="17">
        <f t="shared" ca="1" si="19"/>
        <v>6.2686567164179197E-2</v>
      </c>
      <c r="H45" s="17">
        <f t="shared" ca="1" si="19"/>
        <v>6.067415730337089E-2</v>
      </c>
      <c r="I45" s="17">
        <f t="shared" ca="1" si="19"/>
        <v>6.3029661016949179E-2</v>
      </c>
      <c r="J45" s="17">
        <f t="shared" ca="1" si="19"/>
        <v>6.1285500747384258E-2</v>
      </c>
      <c r="K45" s="17">
        <f t="shared" ca="1" si="19"/>
        <v>6.197183098591541E-2</v>
      </c>
      <c r="L45" s="17">
        <f t="shared" ca="1" si="19"/>
        <v>6.1450044208664956E-2</v>
      </c>
      <c r="M45" s="17">
        <f t="shared" ca="1" si="19"/>
        <v>6.2057476051645244E-2</v>
      </c>
      <c r="N45" s="17">
        <f t="shared" ca="1" si="19"/>
        <v>6.1960784313725537E-2</v>
      </c>
      <c r="O45" s="17">
        <f t="shared" ca="1" si="19"/>
        <v>6.2407680945347099E-2</v>
      </c>
      <c r="P45" s="17">
        <f t="shared" ca="1" si="19"/>
        <v>6.2217587765033056E-2</v>
      </c>
      <c r="Q45" s="17">
        <f t="shared" ca="1" si="19"/>
        <v>6.25E-2</v>
      </c>
      <c r="R45" s="17">
        <f t="shared" ca="1" si="19"/>
        <v>6.2519248537111105E-2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106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985</v>
      </c>
      <c r="D47" s="74">
        <f ca="1">VALUE(OFFSET(SourceData!$A$4,$B$40+D$2-2011,SourceData!$U$1+General!$B$1))</f>
        <v>1205.3747387465301</v>
      </c>
      <c r="E47" s="74">
        <f ca="1">VALUE(OFFSET(SourceData!$A$4,$B$40+E$2-2011,SourceData!$U$1+General!$B$1))</f>
        <v>1475.0540718865641</v>
      </c>
      <c r="F47" s="74">
        <f ca="1">VALUE(OFFSET(SourceData!$A$4,$B$40+F$2-2011,SourceData!$U$1+General!$B$1))</f>
        <v>1805.0689507992613</v>
      </c>
      <c r="G47" s="74">
        <f ca="1">VALUE(OFFSET(SourceData!$A$4,$B$40+G$2-2011,SourceData!$U$1+General!$B$1))</f>
        <v>1805.0689507992613</v>
      </c>
      <c r="H47" s="74">
        <f ca="1">VALUE(OFFSET(SourceData!$A$4,$B$40+H$2-2011,SourceData!$U$1+General!$B$1))</f>
        <v>1805.0689507992613</v>
      </c>
      <c r="I47" s="74">
        <f ca="1">VALUE(OFFSET(SourceData!$A$4,$B$40+I$2-2011,SourceData!$U$1+General!$B$1))</f>
        <v>1805.0689507992613</v>
      </c>
      <c r="J47" s="74">
        <f ca="1">VALUE(OFFSET(SourceData!$A$4,$B$40+J$2-2011,SourceData!$U$1+General!$B$1))</f>
        <v>1805.0689507992613</v>
      </c>
      <c r="K47" s="74">
        <f ca="1">VALUE(OFFSET(SourceData!$A$4,$B$40+K$2-2011,SourceData!$U$1+General!$B$1))</f>
        <v>1805.0689507992613</v>
      </c>
      <c r="L47" s="74">
        <f ca="1">VALUE(OFFSET(SourceData!$A$4,$B$40+L$2-2011,SourceData!$U$1+General!$B$1))</f>
        <v>1805.0689507992613</v>
      </c>
      <c r="M47" s="74">
        <f ca="1">VALUE(OFFSET(SourceData!$A$4,$B$40+M$2-2011,SourceData!$U$1+General!$B$1))</f>
        <v>1805.0689507992613</v>
      </c>
      <c r="N47" s="74">
        <f ca="1">VALUE(OFFSET(SourceData!$A$4,$B$40+N$2-2011,SourceData!$U$1+General!$B$1))</f>
        <v>1805.0689507992613</v>
      </c>
      <c r="O47" s="74">
        <f ca="1">VALUE(OFFSET(SourceData!$A$4,$B$40+O$2-2011,SourceData!$U$1+General!$B$1))</f>
        <v>1805.0689507992613</v>
      </c>
      <c r="P47" s="74">
        <f ca="1">VALUE(OFFSET(SourceData!$A$4,$B$40+P$2-2011,SourceData!$U$1+General!$B$1))</f>
        <v>1805.0689507992613</v>
      </c>
      <c r="Q47" s="74">
        <f ca="1">VALUE(OFFSET(SourceData!$A$4,$B$40+Q$2-2011,SourceData!$U$1+General!$B$1))</f>
        <v>1805.0689507992613</v>
      </c>
      <c r="R47" s="74">
        <f ca="1">VALUE(OFFSET(SourceData!$A$4,$B$40+R$2-2011,SourceData!$U$1+General!$B$1))</f>
        <v>1805.069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977111117893"/>
  </sheetPr>
  <dimension ref="A1:AA51"/>
  <sheetViews>
    <sheetView workbookViewId="0">
      <pane xSplit="2" ySplit="2" topLeftCell="C5" activePane="bottomRight" state="frozen"/>
      <selection activeCell="D20" sqref="D20"/>
      <selection pane="topRight" activeCell="D20" sqref="D20"/>
      <selection pane="bottomLeft" activeCell="D20" sqref="D20"/>
      <selection pane="bottomRight" activeCell="A29" sqref="A29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68</v>
      </c>
      <c r="B2" s="26" t="str">
        <f>VLOOKUP(A2,General!$A$9:$B$23,2,FALSE)</f>
        <v>GAM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9.1324200913242004E-2</v>
      </c>
      <c r="E4" s="27">
        <f t="shared" ref="E4:R4" ca="1" si="1">E42</f>
        <v>0.41004184100418417</v>
      </c>
      <c r="F4" s="27">
        <f t="shared" ca="1" si="1"/>
        <v>0.228486646884273</v>
      </c>
      <c r="G4" s="27">
        <f t="shared" ca="1" si="1"/>
        <v>0.19806763285024154</v>
      </c>
      <c r="H4" s="27">
        <f t="shared" ca="1" si="1"/>
        <v>0.18145161290322576</v>
      </c>
      <c r="I4" s="27">
        <f t="shared" ca="1" si="1"/>
        <v>0.27474402730375425</v>
      </c>
      <c r="J4" s="27">
        <f t="shared" ca="1" si="1"/>
        <v>3.2128514056224855E-2</v>
      </c>
      <c r="K4" s="27">
        <f t="shared" ca="1" si="1"/>
        <v>3.2425421530480003E-2</v>
      </c>
      <c r="L4" s="27">
        <f t="shared" ca="1" si="1"/>
        <v>3.1407035175879505E-2</v>
      </c>
      <c r="M4" s="27">
        <f t="shared" ca="1" si="1"/>
        <v>3.1668696711327549E-2</v>
      </c>
      <c r="N4" s="27">
        <f t="shared" ca="1" si="1"/>
        <v>3.7780401416765086E-2</v>
      </c>
      <c r="O4" s="27">
        <f t="shared" ca="1" si="1"/>
        <v>3.7542662116040848E-2</v>
      </c>
      <c r="P4" s="27">
        <f t="shared" ca="1" si="1"/>
        <v>3.6184210526315708E-2</v>
      </c>
      <c r="Q4" s="27">
        <f t="shared" ca="1" si="1"/>
        <v>3.7037037037036979E-2</v>
      </c>
      <c r="R4" s="27">
        <f t="shared" ca="1" si="1"/>
        <v>3.7755102040816224E-2</v>
      </c>
      <c r="S4" s="17">
        <f ca="1">$W$4</f>
        <v>3.6870525945763843E-2</v>
      </c>
      <c r="T4" s="17">
        <f t="shared" ref="T4:V4" ca="1" si="2">$W$4</f>
        <v>3.6870525945763843E-2</v>
      </c>
      <c r="U4" s="17">
        <f t="shared" ca="1" si="2"/>
        <v>3.6870525945763843E-2</v>
      </c>
      <c r="V4" s="17">
        <f t="shared" ca="1" si="2"/>
        <v>3.6870525945763843E-2</v>
      </c>
      <c r="W4" s="17">
        <f ca="1">SUMIF(SourceData!$AO$3:$BA$3,$B$2,SourceData!$AO$25:$BA$25)</f>
        <v>3.6870525945763843E-2</v>
      </c>
      <c r="X4" s="73">
        <f ca="1">W4</f>
        <v>3.6870525945763843E-2</v>
      </c>
      <c r="Y4" s="17">
        <f ca="1">SUMIF(SourceData!$AO$3:$BA$3,$B$2,SourceData!$AO$27:$BA$27)</f>
        <v>3.6870525945763843E-2</v>
      </c>
      <c r="Z4" s="17">
        <f ca="1">SUMIF(SourceData!$AO$3:$BA$3,$B$2,SourceData!$AO$28:$BA$28)</f>
        <v>3.6870525945763843E-2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186.15</v>
      </c>
      <c r="D5" s="6">
        <f t="shared" ref="D5:H5" ca="1" si="3">D41*(1-D7)*(1-D10)</f>
        <v>203.15</v>
      </c>
      <c r="E5" s="6">
        <f t="shared" ca="1" si="3"/>
        <v>286.45</v>
      </c>
      <c r="F5" s="6">
        <f t="shared" ca="1" si="3"/>
        <v>351.9</v>
      </c>
      <c r="G5" s="6">
        <f t="shared" ca="1" si="3"/>
        <v>421.59999999999997</v>
      </c>
      <c r="H5" s="6">
        <f t="shared" ca="1" si="3"/>
        <v>498.09999999999997</v>
      </c>
      <c r="I5" s="7">
        <f t="shared" ref="I5:X5" ca="1" si="4">H5*(1+I4)</f>
        <v>634.94999999999993</v>
      </c>
      <c r="J5" s="7">
        <f t="shared" ca="1" si="4"/>
        <v>655.34999999999991</v>
      </c>
      <c r="K5" s="7">
        <f t="shared" ca="1" si="4"/>
        <v>676.6</v>
      </c>
      <c r="L5" s="7">
        <f t="shared" ca="1" si="4"/>
        <v>697.85000000000014</v>
      </c>
      <c r="M5" s="7">
        <f t="shared" ca="1" si="4"/>
        <v>719.95</v>
      </c>
      <c r="N5" s="7">
        <f t="shared" ca="1" si="4"/>
        <v>747.15000000000009</v>
      </c>
      <c r="O5" s="7">
        <f t="shared" ca="1" si="4"/>
        <v>775.2</v>
      </c>
      <c r="P5" s="7">
        <f t="shared" ca="1" si="4"/>
        <v>803.25</v>
      </c>
      <c r="Q5" s="7">
        <f t="shared" ca="1" si="4"/>
        <v>833</v>
      </c>
      <c r="R5" s="7">
        <f t="shared" ca="1" si="4"/>
        <v>864.44999999999993</v>
      </c>
      <c r="S5" s="7">
        <f t="shared" ca="1" si="4"/>
        <v>896.32272615381544</v>
      </c>
      <c r="T5" s="7">
        <f t="shared" ca="1" si="4"/>
        <v>929.37061648424742</v>
      </c>
      <c r="U5" s="7">
        <f t="shared" ca="1" si="4"/>
        <v>963.63699991256033</v>
      </c>
      <c r="V5" s="7">
        <f t="shared" ca="1" si="4"/>
        <v>999.16680292013439</v>
      </c>
      <c r="W5" s="7">
        <f t="shared" ca="1" si="4"/>
        <v>1036.0066084513471</v>
      </c>
      <c r="X5" s="7">
        <f t="shared" ca="1" si="4"/>
        <v>1074.2047169882353</v>
      </c>
      <c r="Y5" s="7">
        <f ca="1">W5*(1+Y4)^(Y2-W2)</f>
        <v>1488.0167495352853</v>
      </c>
      <c r="Z5" s="7">
        <f t="shared" ref="Z5:AA5" ca="1" si="5">Y5*(1+Z4)^(Z2-Y2)</f>
        <v>2137.2391149197374</v>
      </c>
      <c r="AA5" s="7">
        <f t="shared" ca="1" si="5"/>
        <v>2137.2391149197374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80">
        <f>($H$7-$C$7)/($H$2-$C$2)+C7</f>
        <v>0</v>
      </c>
      <c r="E7" s="80">
        <f t="shared" ref="E7:G7" si="6">($H$7-$C$7)/($H$2-$C$2)+D7</f>
        <v>0</v>
      </c>
      <c r="F7" s="80">
        <f t="shared" si="6"/>
        <v>0</v>
      </c>
      <c r="G7" s="80">
        <f t="shared" si="6"/>
        <v>0</v>
      </c>
      <c r="H7" s="22">
        <v>0</v>
      </c>
      <c r="I7" s="28">
        <f t="shared" ref="I7:AA7" si="7">H7</f>
        <v>0</v>
      </c>
      <c r="J7" s="28">
        <f t="shared" si="7"/>
        <v>0</v>
      </c>
      <c r="K7" s="28">
        <f t="shared" si="7"/>
        <v>0</v>
      </c>
      <c r="L7" s="28">
        <f t="shared" si="7"/>
        <v>0</v>
      </c>
      <c r="M7" s="28">
        <f t="shared" si="7"/>
        <v>0</v>
      </c>
      <c r="N7" s="28">
        <f t="shared" si="7"/>
        <v>0</v>
      </c>
      <c r="O7" s="28">
        <f t="shared" si="7"/>
        <v>0</v>
      </c>
      <c r="P7" s="28">
        <f t="shared" si="7"/>
        <v>0</v>
      </c>
      <c r="Q7" s="28">
        <f t="shared" si="7"/>
        <v>0</v>
      </c>
      <c r="R7" s="28">
        <f t="shared" si="7"/>
        <v>0</v>
      </c>
      <c r="S7" s="28">
        <f t="shared" si="7"/>
        <v>0</v>
      </c>
      <c r="T7" s="28">
        <f t="shared" si="7"/>
        <v>0</v>
      </c>
      <c r="U7" s="28">
        <f t="shared" si="7"/>
        <v>0</v>
      </c>
      <c r="V7" s="28">
        <f t="shared" si="7"/>
        <v>0</v>
      </c>
      <c r="W7" s="28">
        <f t="shared" si="7"/>
        <v>0</v>
      </c>
      <c r="X7" s="28">
        <f t="shared" si="7"/>
        <v>0</v>
      </c>
      <c r="Y7" s="28">
        <f t="shared" si="7"/>
        <v>0</v>
      </c>
      <c r="Z7" s="28">
        <f t="shared" si="7"/>
        <v>0</v>
      </c>
      <c r="AA7" s="28">
        <f t="shared" si="7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8">C5/(1-C7)</f>
        <v>186.15</v>
      </c>
      <c r="D8" s="8">
        <f t="shared" ca="1" si="8"/>
        <v>203.15</v>
      </c>
      <c r="E8" s="8">
        <f t="shared" ca="1" si="8"/>
        <v>286.45</v>
      </c>
      <c r="F8" s="8">
        <f t="shared" ca="1" si="8"/>
        <v>351.9</v>
      </c>
      <c r="G8" s="8">
        <f t="shared" ca="1" si="8"/>
        <v>421.59999999999997</v>
      </c>
      <c r="H8" s="8">
        <f t="shared" ca="1" si="8"/>
        <v>498.09999999999997</v>
      </c>
      <c r="I8" s="8">
        <f t="shared" ca="1" si="8"/>
        <v>634.94999999999993</v>
      </c>
      <c r="J8" s="8">
        <f t="shared" ca="1" si="8"/>
        <v>655.34999999999991</v>
      </c>
      <c r="K8" s="8">
        <f t="shared" ca="1" si="8"/>
        <v>676.6</v>
      </c>
      <c r="L8" s="8">
        <f t="shared" ca="1" si="8"/>
        <v>697.85000000000014</v>
      </c>
      <c r="M8" s="8">
        <f t="shared" ca="1" si="8"/>
        <v>719.95</v>
      </c>
      <c r="N8" s="8">
        <f t="shared" ca="1" si="8"/>
        <v>747.15000000000009</v>
      </c>
      <c r="O8" s="8">
        <f t="shared" ca="1" si="8"/>
        <v>775.2</v>
      </c>
      <c r="P8" s="8">
        <f t="shared" ca="1" si="8"/>
        <v>803.25</v>
      </c>
      <c r="Q8" s="8">
        <f t="shared" ca="1" si="8"/>
        <v>833</v>
      </c>
      <c r="R8" s="8">
        <f t="shared" ca="1" si="8"/>
        <v>864.44999999999993</v>
      </c>
      <c r="S8" s="8">
        <f t="shared" ca="1" si="8"/>
        <v>896.32272615381544</v>
      </c>
      <c r="T8" s="8">
        <f t="shared" ca="1" si="8"/>
        <v>929.37061648424742</v>
      </c>
      <c r="U8" s="8">
        <f t="shared" ca="1" si="8"/>
        <v>963.63699991256033</v>
      </c>
      <c r="V8" s="8">
        <f t="shared" ca="1" si="8"/>
        <v>999.16680292013439</v>
      </c>
      <c r="W8" s="8">
        <f t="shared" ca="1" si="8"/>
        <v>1036.0066084513471</v>
      </c>
      <c r="X8" s="8">
        <f t="shared" ca="1" si="8"/>
        <v>1074.2047169882353</v>
      </c>
      <c r="Y8" s="8">
        <f t="shared" ca="1" si="8"/>
        <v>1488.0167495352853</v>
      </c>
      <c r="Z8" s="8">
        <f t="shared" ca="1" si="8"/>
        <v>2137.2391149197374</v>
      </c>
      <c r="AA8" s="8">
        <f t="shared" ca="1" si="8"/>
        <v>2137.2391149197374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9">D10</f>
        <v>0.15</v>
      </c>
      <c r="F10" s="27">
        <f t="shared" si="9"/>
        <v>0.15</v>
      </c>
      <c r="G10" s="27">
        <f t="shared" si="9"/>
        <v>0.15</v>
      </c>
      <c r="H10" s="27">
        <f t="shared" si="9"/>
        <v>0.15</v>
      </c>
      <c r="I10" s="27">
        <f t="shared" si="9"/>
        <v>0.15</v>
      </c>
      <c r="J10" s="27">
        <f t="shared" si="9"/>
        <v>0.15</v>
      </c>
      <c r="K10" s="27">
        <f t="shared" si="9"/>
        <v>0.15</v>
      </c>
      <c r="L10" s="27">
        <f t="shared" si="9"/>
        <v>0.15</v>
      </c>
      <c r="M10" s="27">
        <f t="shared" si="9"/>
        <v>0.15</v>
      </c>
      <c r="N10" s="27">
        <f t="shared" si="9"/>
        <v>0.15</v>
      </c>
      <c r="O10" s="27">
        <f t="shared" si="9"/>
        <v>0.15</v>
      </c>
      <c r="P10" s="27">
        <f t="shared" si="9"/>
        <v>0.15</v>
      </c>
      <c r="Q10" s="27">
        <f t="shared" si="9"/>
        <v>0.15</v>
      </c>
      <c r="R10" s="27">
        <f t="shared" si="9"/>
        <v>0.15</v>
      </c>
      <c r="S10" s="27">
        <f t="shared" si="9"/>
        <v>0.15</v>
      </c>
      <c r="T10" s="27">
        <f t="shared" si="9"/>
        <v>0.15</v>
      </c>
      <c r="U10" s="27">
        <f t="shared" si="9"/>
        <v>0.15</v>
      </c>
      <c r="V10" s="27">
        <f t="shared" si="9"/>
        <v>0.15</v>
      </c>
      <c r="W10" s="27">
        <f t="shared" si="9"/>
        <v>0.15</v>
      </c>
      <c r="X10" s="27">
        <f t="shared" si="9"/>
        <v>0.15</v>
      </c>
      <c r="Y10" s="27">
        <f t="shared" si="9"/>
        <v>0.15</v>
      </c>
      <c r="Z10" s="27">
        <f t="shared" si="9"/>
        <v>0.15</v>
      </c>
      <c r="AA10" s="27">
        <f t="shared" si="9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10">C8/(1-C10)</f>
        <v>219</v>
      </c>
      <c r="D11" s="8">
        <f t="shared" ca="1" si="10"/>
        <v>239</v>
      </c>
      <c r="E11" s="8">
        <f t="shared" ca="1" si="10"/>
        <v>337</v>
      </c>
      <c r="F11" s="8">
        <f t="shared" ca="1" si="10"/>
        <v>414</v>
      </c>
      <c r="G11" s="8">
        <f t="shared" ca="1" si="10"/>
        <v>496</v>
      </c>
      <c r="H11" s="8">
        <f t="shared" ca="1" si="10"/>
        <v>586</v>
      </c>
      <c r="I11" s="8">
        <f t="shared" ca="1" si="10"/>
        <v>746.99999999999989</v>
      </c>
      <c r="J11" s="8">
        <f t="shared" ca="1" si="10"/>
        <v>770.99999999999989</v>
      </c>
      <c r="K11" s="8">
        <f t="shared" ca="1" si="10"/>
        <v>796</v>
      </c>
      <c r="L11" s="8">
        <f t="shared" ca="1" si="10"/>
        <v>821.00000000000023</v>
      </c>
      <c r="M11" s="8">
        <f t="shared" ca="1" si="10"/>
        <v>847.00000000000011</v>
      </c>
      <c r="N11" s="8">
        <f t="shared" ca="1" si="10"/>
        <v>879.00000000000011</v>
      </c>
      <c r="O11" s="8">
        <f t="shared" ca="1" si="10"/>
        <v>912.00000000000011</v>
      </c>
      <c r="P11" s="8">
        <f t="shared" ca="1" si="10"/>
        <v>945</v>
      </c>
      <c r="Q11" s="8">
        <f t="shared" ca="1" si="10"/>
        <v>980</v>
      </c>
      <c r="R11" s="8">
        <f t="shared" ca="1" si="10"/>
        <v>1017</v>
      </c>
      <c r="S11" s="8">
        <f t="shared" ca="1" si="10"/>
        <v>1054.4973248868416</v>
      </c>
      <c r="T11" s="8">
        <f t="shared" ca="1" si="10"/>
        <v>1093.3771958638206</v>
      </c>
      <c r="U11" s="8">
        <f t="shared" ca="1" si="10"/>
        <v>1133.690588132424</v>
      </c>
      <c r="V11" s="8">
        <f t="shared" ca="1" si="10"/>
        <v>1175.4903563766288</v>
      </c>
      <c r="W11" s="8">
        <f t="shared" ca="1" si="10"/>
        <v>1218.8313040604085</v>
      </c>
      <c r="X11" s="8">
        <f t="shared" ca="1" si="10"/>
        <v>1263.7702552802768</v>
      </c>
      <c r="Y11" s="8">
        <f t="shared" ca="1" si="10"/>
        <v>1750.6079406297474</v>
      </c>
      <c r="Z11" s="8">
        <f t="shared" ca="1" si="10"/>
        <v>2514.398958729103</v>
      </c>
      <c r="AA11" s="8">
        <f t="shared" ca="1" si="10"/>
        <v>2514.398958729103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11">D13</f>
        <v>0</v>
      </c>
      <c r="F13" s="36">
        <f t="shared" si="11"/>
        <v>0</v>
      </c>
      <c r="G13" s="36">
        <f t="shared" si="11"/>
        <v>0</v>
      </c>
      <c r="H13" s="36">
        <f t="shared" si="11"/>
        <v>0</v>
      </c>
      <c r="I13" s="36">
        <f t="shared" si="11"/>
        <v>0</v>
      </c>
      <c r="J13" s="36">
        <f t="shared" si="11"/>
        <v>0</v>
      </c>
      <c r="K13" s="36">
        <f t="shared" si="11"/>
        <v>0</v>
      </c>
      <c r="L13" s="36">
        <f t="shared" si="11"/>
        <v>0</v>
      </c>
      <c r="M13" s="36">
        <f t="shared" si="11"/>
        <v>0</v>
      </c>
      <c r="N13" s="36">
        <f t="shared" si="11"/>
        <v>0</v>
      </c>
      <c r="O13" s="36">
        <f t="shared" si="11"/>
        <v>0</v>
      </c>
      <c r="P13" s="36">
        <f t="shared" si="11"/>
        <v>0</v>
      </c>
      <c r="Q13" s="36">
        <f t="shared" si="11"/>
        <v>0</v>
      </c>
      <c r="R13" s="36">
        <f t="shared" si="11"/>
        <v>0</v>
      </c>
      <c r="S13" s="36">
        <f t="shared" si="11"/>
        <v>0</v>
      </c>
      <c r="T13" s="36">
        <f t="shared" si="11"/>
        <v>0</v>
      </c>
      <c r="U13" s="36">
        <f t="shared" ref="U13:AA18" si="12">T13</f>
        <v>0</v>
      </c>
      <c r="V13" s="36">
        <f t="shared" si="12"/>
        <v>0</v>
      </c>
      <c r="W13" s="36">
        <f t="shared" si="12"/>
        <v>0</v>
      </c>
      <c r="X13" s="36">
        <f t="shared" si="12"/>
        <v>0</v>
      </c>
      <c r="Y13" s="36">
        <f t="shared" si="12"/>
        <v>0</v>
      </c>
      <c r="Z13" s="36">
        <f t="shared" si="12"/>
        <v>0</v>
      </c>
      <c r="AA13" s="36">
        <f t="shared" si="12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11"/>
        <v>0</v>
      </c>
      <c r="F14" s="36">
        <f t="shared" si="11"/>
        <v>0</v>
      </c>
      <c r="G14" s="36">
        <f t="shared" si="11"/>
        <v>0</v>
      </c>
      <c r="H14" s="36">
        <f t="shared" si="11"/>
        <v>0</v>
      </c>
      <c r="I14" s="36">
        <f t="shared" si="11"/>
        <v>0</v>
      </c>
      <c r="J14" s="36">
        <f t="shared" si="11"/>
        <v>0</v>
      </c>
      <c r="K14" s="36">
        <f t="shared" si="11"/>
        <v>0</v>
      </c>
      <c r="L14" s="36">
        <f t="shared" si="11"/>
        <v>0</v>
      </c>
      <c r="M14" s="36">
        <f t="shared" si="11"/>
        <v>0</v>
      </c>
      <c r="N14" s="36">
        <f t="shared" si="11"/>
        <v>0</v>
      </c>
      <c r="O14" s="36">
        <f t="shared" si="11"/>
        <v>0</v>
      </c>
      <c r="P14" s="36">
        <f t="shared" si="11"/>
        <v>0</v>
      </c>
      <c r="Q14" s="36">
        <f t="shared" si="11"/>
        <v>0</v>
      </c>
      <c r="R14" s="36">
        <f t="shared" si="11"/>
        <v>0</v>
      </c>
      <c r="S14" s="36">
        <f t="shared" si="11"/>
        <v>0</v>
      </c>
      <c r="T14" s="36">
        <f t="shared" si="11"/>
        <v>0</v>
      </c>
      <c r="U14" s="36">
        <f t="shared" si="12"/>
        <v>0</v>
      </c>
      <c r="V14" s="36">
        <f t="shared" si="12"/>
        <v>0</v>
      </c>
      <c r="W14" s="36">
        <f t="shared" si="12"/>
        <v>0</v>
      </c>
      <c r="X14" s="36">
        <f t="shared" si="12"/>
        <v>0</v>
      </c>
      <c r="Y14" s="36">
        <f t="shared" si="12"/>
        <v>0</v>
      </c>
      <c r="Z14" s="36">
        <f t="shared" si="12"/>
        <v>0</v>
      </c>
      <c r="AA14" s="36">
        <f t="shared" si="12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11"/>
        <v>0</v>
      </c>
      <c r="F15" s="36">
        <f t="shared" si="11"/>
        <v>0</v>
      </c>
      <c r="G15" s="36">
        <f t="shared" si="11"/>
        <v>0</v>
      </c>
      <c r="H15" s="36">
        <f t="shared" si="11"/>
        <v>0</v>
      </c>
      <c r="I15" s="36">
        <f t="shared" si="11"/>
        <v>0</v>
      </c>
      <c r="J15" s="36">
        <f t="shared" si="11"/>
        <v>0</v>
      </c>
      <c r="K15" s="36">
        <f t="shared" si="11"/>
        <v>0</v>
      </c>
      <c r="L15" s="36">
        <f t="shared" si="11"/>
        <v>0</v>
      </c>
      <c r="M15" s="36">
        <f t="shared" si="11"/>
        <v>0</v>
      </c>
      <c r="N15" s="36">
        <f t="shared" si="11"/>
        <v>0</v>
      </c>
      <c r="O15" s="36">
        <f t="shared" si="11"/>
        <v>0</v>
      </c>
      <c r="P15" s="36">
        <f t="shared" si="11"/>
        <v>0</v>
      </c>
      <c r="Q15" s="36">
        <f t="shared" si="11"/>
        <v>0</v>
      </c>
      <c r="R15" s="36">
        <f t="shared" si="11"/>
        <v>0</v>
      </c>
      <c r="S15" s="36">
        <f t="shared" si="11"/>
        <v>0</v>
      </c>
      <c r="T15" s="36">
        <f t="shared" si="11"/>
        <v>0</v>
      </c>
      <c r="U15" s="36">
        <f t="shared" si="12"/>
        <v>0</v>
      </c>
      <c r="V15" s="36">
        <f t="shared" si="12"/>
        <v>0</v>
      </c>
      <c r="W15" s="36">
        <f t="shared" si="12"/>
        <v>0</v>
      </c>
      <c r="X15" s="36">
        <f t="shared" si="12"/>
        <v>0</v>
      </c>
      <c r="Y15" s="36">
        <f t="shared" si="12"/>
        <v>0</v>
      </c>
      <c r="Z15" s="36">
        <f t="shared" si="12"/>
        <v>0</v>
      </c>
      <c r="AA15" s="36">
        <f t="shared" si="12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3">C16</f>
        <v>0</v>
      </c>
      <c r="E16" s="36">
        <f t="shared" si="11"/>
        <v>0</v>
      </c>
      <c r="F16" s="36">
        <f t="shared" si="11"/>
        <v>0</v>
      </c>
      <c r="G16" s="36">
        <f t="shared" si="11"/>
        <v>0</v>
      </c>
      <c r="H16" s="36">
        <f t="shared" si="11"/>
        <v>0</v>
      </c>
      <c r="I16" s="36">
        <f t="shared" si="11"/>
        <v>0</v>
      </c>
      <c r="J16" s="36">
        <f t="shared" si="11"/>
        <v>0</v>
      </c>
      <c r="K16" s="36">
        <f t="shared" si="11"/>
        <v>0</v>
      </c>
      <c r="L16" s="36">
        <f t="shared" si="11"/>
        <v>0</v>
      </c>
      <c r="M16" s="36">
        <f t="shared" si="11"/>
        <v>0</v>
      </c>
      <c r="N16" s="36">
        <f t="shared" si="11"/>
        <v>0</v>
      </c>
      <c r="O16" s="36">
        <f t="shared" si="11"/>
        <v>0</v>
      </c>
      <c r="P16" s="36">
        <f t="shared" si="11"/>
        <v>0</v>
      </c>
      <c r="Q16" s="36">
        <f t="shared" si="11"/>
        <v>0</v>
      </c>
      <c r="R16" s="36">
        <f t="shared" si="11"/>
        <v>0</v>
      </c>
      <c r="S16" s="36">
        <f t="shared" si="11"/>
        <v>0</v>
      </c>
      <c r="T16" s="36">
        <f t="shared" si="11"/>
        <v>0</v>
      </c>
      <c r="U16" s="36">
        <f t="shared" si="12"/>
        <v>0</v>
      </c>
      <c r="V16" s="36">
        <f t="shared" si="12"/>
        <v>0</v>
      </c>
      <c r="W16" s="36">
        <f t="shared" si="12"/>
        <v>0</v>
      </c>
      <c r="X16" s="36">
        <f t="shared" si="12"/>
        <v>0</v>
      </c>
      <c r="Y16" s="36">
        <f t="shared" si="12"/>
        <v>0</v>
      </c>
      <c r="Z16" s="36">
        <f t="shared" si="12"/>
        <v>0</v>
      </c>
      <c r="AA16" s="36">
        <f t="shared" si="12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3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0</v>
      </c>
      <c r="K17" s="36">
        <f t="shared" si="11"/>
        <v>0</v>
      </c>
      <c r="L17" s="36">
        <f t="shared" si="11"/>
        <v>0</v>
      </c>
      <c r="M17" s="36">
        <f t="shared" si="11"/>
        <v>0</v>
      </c>
      <c r="N17" s="36">
        <f t="shared" si="11"/>
        <v>0</v>
      </c>
      <c r="O17" s="36">
        <f t="shared" si="11"/>
        <v>0</v>
      </c>
      <c r="P17" s="36">
        <f t="shared" si="11"/>
        <v>0</v>
      </c>
      <c r="Q17" s="36">
        <f t="shared" si="11"/>
        <v>0</v>
      </c>
      <c r="R17" s="36">
        <f t="shared" si="11"/>
        <v>0</v>
      </c>
      <c r="S17" s="36">
        <f t="shared" si="11"/>
        <v>0</v>
      </c>
      <c r="T17" s="36">
        <f t="shared" si="11"/>
        <v>0</v>
      </c>
      <c r="U17" s="36">
        <f t="shared" si="12"/>
        <v>0</v>
      </c>
      <c r="V17" s="36">
        <f t="shared" si="12"/>
        <v>0</v>
      </c>
      <c r="W17" s="36">
        <f t="shared" si="12"/>
        <v>0</v>
      </c>
      <c r="X17" s="36">
        <f t="shared" si="12"/>
        <v>0</v>
      </c>
      <c r="Y17" s="36">
        <f t="shared" si="12"/>
        <v>0</v>
      </c>
      <c r="Z17" s="36">
        <f t="shared" si="12"/>
        <v>0</v>
      </c>
      <c r="AA17" s="36">
        <f t="shared" si="12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3"/>
        <v>0</v>
      </c>
      <c r="E18" s="36">
        <f t="shared" si="11"/>
        <v>0</v>
      </c>
      <c r="F18" s="36">
        <f t="shared" si="11"/>
        <v>0</v>
      </c>
      <c r="G18" s="36">
        <f t="shared" si="11"/>
        <v>0</v>
      </c>
      <c r="H18" s="36">
        <f t="shared" si="11"/>
        <v>0</v>
      </c>
      <c r="I18" s="36">
        <f t="shared" si="11"/>
        <v>0</v>
      </c>
      <c r="J18" s="36">
        <f t="shared" si="11"/>
        <v>0</v>
      </c>
      <c r="K18" s="36">
        <f t="shared" si="11"/>
        <v>0</v>
      </c>
      <c r="L18" s="36">
        <f t="shared" si="11"/>
        <v>0</v>
      </c>
      <c r="M18" s="36">
        <f t="shared" si="11"/>
        <v>0</v>
      </c>
      <c r="N18" s="36">
        <f t="shared" si="11"/>
        <v>0</v>
      </c>
      <c r="O18" s="36">
        <f t="shared" si="11"/>
        <v>0</v>
      </c>
      <c r="P18" s="36">
        <f t="shared" si="11"/>
        <v>0</v>
      </c>
      <c r="Q18" s="36">
        <f t="shared" si="11"/>
        <v>0</v>
      </c>
      <c r="R18" s="36">
        <f t="shared" si="11"/>
        <v>0</v>
      </c>
      <c r="S18" s="36">
        <f t="shared" si="11"/>
        <v>0</v>
      </c>
      <c r="T18" s="36">
        <f t="shared" si="11"/>
        <v>0</v>
      </c>
      <c r="U18" s="36">
        <f t="shared" si="12"/>
        <v>0</v>
      </c>
      <c r="V18" s="36">
        <f t="shared" si="12"/>
        <v>0</v>
      </c>
      <c r="W18" s="36">
        <f t="shared" si="12"/>
        <v>0</v>
      </c>
      <c r="X18" s="36">
        <f t="shared" si="12"/>
        <v>0</v>
      </c>
      <c r="Y18" s="36">
        <f t="shared" si="12"/>
        <v>0</v>
      </c>
      <c r="Z18" s="36">
        <f t="shared" si="12"/>
        <v>0</v>
      </c>
      <c r="AA18" s="36">
        <f t="shared" si="12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4">SUM(D13:D17)</f>
        <v>0</v>
      </c>
      <c r="E19" s="37">
        <f t="shared" si="14"/>
        <v>0</v>
      </c>
      <c r="F19" s="37">
        <f t="shared" si="14"/>
        <v>0</v>
      </c>
      <c r="G19" s="37">
        <f t="shared" si="14"/>
        <v>0</v>
      </c>
      <c r="H19" s="37">
        <f t="shared" si="14"/>
        <v>0</v>
      </c>
      <c r="I19" s="37">
        <f t="shared" si="14"/>
        <v>0</v>
      </c>
      <c r="J19" s="37">
        <f t="shared" si="14"/>
        <v>0</v>
      </c>
      <c r="K19" s="37">
        <f t="shared" si="14"/>
        <v>0</v>
      </c>
      <c r="L19" s="37">
        <f t="shared" si="14"/>
        <v>0</v>
      </c>
      <c r="M19" s="37">
        <f t="shared" si="14"/>
        <v>0</v>
      </c>
      <c r="N19" s="37">
        <f t="shared" si="14"/>
        <v>0</v>
      </c>
      <c r="O19" s="37">
        <f t="shared" si="14"/>
        <v>0</v>
      </c>
      <c r="P19" s="37">
        <f t="shared" si="14"/>
        <v>0</v>
      </c>
      <c r="Q19" s="37">
        <f t="shared" si="14"/>
        <v>0</v>
      </c>
      <c r="R19" s="37">
        <f t="shared" si="14"/>
        <v>0</v>
      </c>
      <c r="S19" s="37">
        <f t="shared" si="14"/>
        <v>0</v>
      </c>
      <c r="T19" s="37">
        <f t="shared" si="14"/>
        <v>0</v>
      </c>
      <c r="U19" s="37">
        <f t="shared" si="14"/>
        <v>0</v>
      </c>
      <c r="V19" s="37">
        <f t="shared" si="14"/>
        <v>0</v>
      </c>
      <c r="W19" s="37">
        <f t="shared" si="14"/>
        <v>0</v>
      </c>
      <c r="X19" s="37">
        <f t="shared" si="14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5">C19+C11</f>
        <v>219</v>
      </c>
      <c r="D20" s="39">
        <f t="shared" ca="1" si="15"/>
        <v>239</v>
      </c>
      <c r="E20" s="39">
        <f t="shared" ca="1" si="15"/>
        <v>337</v>
      </c>
      <c r="F20" s="39">
        <f t="shared" ca="1" si="15"/>
        <v>414</v>
      </c>
      <c r="G20" s="39">
        <f t="shared" ca="1" si="15"/>
        <v>496</v>
      </c>
      <c r="H20" s="39">
        <f t="shared" ca="1" si="15"/>
        <v>586</v>
      </c>
      <c r="I20" s="39">
        <f t="shared" ca="1" si="15"/>
        <v>746.99999999999989</v>
      </c>
      <c r="J20" s="39">
        <f t="shared" ca="1" si="15"/>
        <v>770.99999999999989</v>
      </c>
      <c r="K20" s="39">
        <f t="shared" ca="1" si="15"/>
        <v>796</v>
      </c>
      <c r="L20" s="39">
        <f t="shared" ca="1" si="15"/>
        <v>821.00000000000023</v>
      </c>
      <c r="M20" s="39">
        <f t="shared" ca="1" si="15"/>
        <v>847.00000000000011</v>
      </c>
      <c r="N20" s="39">
        <f t="shared" ca="1" si="15"/>
        <v>879.00000000000011</v>
      </c>
      <c r="O20" s="39">
        <f t="shared" ca="1" si="15"/>
        <v>912.00000000000011</v>
      </c>
      <c r="P20" s="39">
        <f t="shared" ca="1" si="15"/>
        <v>945</v>
      </c>
      <c r="Q20" s="39">
        <f t="shared" ca="1" si="15"/>
        <v>980</v>
      </c>
      <c r="R20" s="39">
        <f t="shared" ca="1" si="15"/>
        <v>1017</v>
      </c>
      <c r="S20" s="39">
        <f t="shared" ca="1" si="15"/>
        <v>1054.4973248868416</v>
      </c>
      <c r="T20" s="39">
        <f t="shared" ca="1" si="15"/>
        <v>1093.3771958638206</v>
      </c>
      <c r="U20" s="39">
        <f t="shared" ca="1" si="15"/>
        <v>1133.690588132424</v>
      </c>
      <c r="V20" s="39">
        <f t="shared" ca="1" si="15"/>
        <v>1175.4903563766288</v>
      </c>
      <c r="W20" s="39">
        <f t="shared" ca="1" si="15"/>
        <v>1218.8313040604085</v>
      </c>
      <c r="X20" s="39">
        <f t="shared" ca="1" si="15"/>
        <v>1263.7702552802768</v>
      </c>
      <c r="Y20" s="39">
        <f t="shared" ca="1" si="15"/>
        <v>1750.6079406297474</v>
      </c>
      <c r="Z20" s="39">
        <f t="shared" ca="1" si="15"/>
        <v>2514.398958729103</v>
      </c>
      <c r="AA20" s="39">
        <f t="shared" ca="1" si="15"/>
        <v>2514.398958729103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50</v>
      </c>
      <c r="D33" s="23">
        <f ca="1">D20/(D34*8.76)</f>
        <v>50</v>
      </c>
      <c r="E33" s="23">
        <f ca="1">E20/(E34*8.76)</f>
        <v>61</v>
      </c>
      <c r="F33" s="23">
        <f t="shared" ref="F33:X33" ca="1" si="16">F20/(F34*8.76)</f>
        <v>69.999999999999986</v>
      </c>
      <c r="G33" s="23">
        <f t="shared" ca="1" si="16"/>
        <v>79</v>
      </c>
      <c r="H33" s="23">
        <f t="shared" ca="1" si="16"/>
        <v>94</v>
      </c>
      <c r="I33" s="23">
        <f t="shared" ca="1" si="16"/>
        <v>118.99999999999999</v>
      </c>
      <c r="J33" s="23">
        <f t="shared" ca="1" si="16"/>
        <v>123</v>
      </c>
      <c r="K33" s="23">
        <f t="shared" ca="1" si="16"/>
        <v>126.99999999999999</v>
      </c>
      <c r="L33" s="23">
        <f t="shared" ca="1" si="16"/>
        <v>131.00000000000006</v>
      </c>
      <c r="M33" s="23">
        <f t="shared" ca="1" si="16"/>
        <v>135.00000000000003</v>
      </c>
      <c r="N33" s="23">
        <f t="shared" ca="1" si="16"/>
        <v>141.00000000000003</v>
      </c>
      <c r="O33" s="23">
        <f t="shared" ca="1" si="16"/>
        <v>146.00000000000003</v>
      </c>
      <c r="P33" s="23">
        <f t="shared" ca="1" si="16"/>
        <v>151</v>
      </c>
      <c r="Q33" s="23">
        <f t="shared" ca="1" si="16"/>
        <v>157</v>
      </c>
      <c r="R33" s="23">
        <f t="shared" ca="1" si="16"/>
        <v>162.99999999999997</v>
      </c>
      <c r="S33" s="23">
        <f t="shared" ca="1" si="16"/>
        <v>169.00989572915944</v>
      </c>
      <c r="T33" s="23">
        <f t="shared" ca="1" si="16"/>
        <v>175.24137947473227</v>
      </c>
      <c r="U33" s="23">
        <f t="shared" ca="1" si="16"/>
        <v>181.70262130342681</v>
      </c>
      <c r="V33" s="23">
        <f t="shared" ca="1" si="16"/>
        <v>188.40209251660812</v>
      </c>
      <c r="W33" s="23">
        <f t="shared" ca="1" si="16"/>
        <v>195.34857675697793</v>
      </c>
      <c r="X33" s="23">
        <f t="shared" ca="1" si="16"/>
        <v>202.5511815247641</v>
      </c>
    </row>
    <row r="34" spans="1:24" ht="15" x14ac:dyDescent="0.25">
      <c r="A34" s="1" t="s">
        <v>7</v>
      </c>
      <c r="C34" s="77">
        <f ca="1">C41/(C44*8.76)</f>
        <v>0.5</v>
      </c>
      <c r="D34" s="77">
        <f ca="1">D41/(D44*8.76)</f>
        <v>0.545662100456621</v>
      </c>
      <c r="E34" s="77">
        <f t="shared" ref="E34:R34" ca="1" si="17">E41/(E44*8.76)</f>
        <v>0.63066097761808515</v>
      </c>
      <c r="F34" s="77">
        <f t="shared" ca="1" si="17"/>
        <v>0.67514677103718213</v>
      </c>
      <c r="G34" s="77">
        <f t="shared" ca="1" si="17"/>
        <v>0.71672157678746895</v>
      </c>
      <c r="H34" s="77">
        <f t="shared" ca="1" si="17"/>
        <v>0.71164869328669977</v>
      </c>
      <c r="I34" s="77">
        <f t="shared" ca="1" si="17"/>
        <v>0.71658800506503972</v>
      </c>
      <c r="J34" s="77">
        <f t="shared" ca="1" si="17"/>
        <v>0.71555852544826815</v>
      </c>
      <c r="K34" s="77">
        <f t="shared" ca="1" si="17"/>
        <v>0.71549275518642363</v>
      </c>
      <c r="L34" s="77">
        <f t="shared" ca="1" si="17"/>
        <v>0.7154310014291192</v>
      </c>
      <c r="M34" s="77">
        <f t="shared" ca="1" si="17"/>
        <v>0.71621850160662948</v>
      </c>
      <c r="N34" s="77">
        <f t="shared" ca="1" si="17"/>
        <v>0.71164869328669966</v>
      </c>
      <c r="O34" s="77">
        <f t="shared" ca="1" si="17"/>
        <v>0.71307937699380741</v>
      </c>
      <c r="P34" s="77">
        <f t="shared" ca="1" si="17"/>
        <v>0.71441531343554388</v>
      </c>
      <c r="Q34" s="77">
        <f t="shared" ca="1" si="17"/>
        <v>0.71256144024663359</v>
      </c>
      <c r="R34" s="77">
        <f t="shared" ca="1" si="17"/>
        <v>0.71224472644760073</v>
      </c>
      <c r="S34" s="14">
        <f t="shared" ref="S34:X34" ca="1" si="18">R34</f>
        <v>0.71224472644760073</v>
      </c>
      <c r="T34" s="14">
        <f t="shared" ca="1" si="18"/>
        <v>0.71224472644760073</v>
      </c>
      <c r="U34" s="14">
        <f t="shared" ca="1" si="18"/>
        <v>0.71224472644760073</v>
      </c>
      <c r="V34" s="14">
        <f t="shared" ca="1" si="18"/>
        <v>0.71224472644760073</v>
      </c>
      <c r="W34" s="14">
        <f t="shared" ca="1" si="18"/>
        <v>0.71224472644760073</v>
      </c>
      <c r="X34" s="14">
        <f t="shared" ca="1" si="18"/>
        <v>0.71224472644760073</v>
      </c>
    </row>
    <row r="35" spans="1:24" ht="15" x14ac:dyDescent="0.25">
      <c r="A35" s="1" t="s">
        <v>8</v>
      </c>
      <c r="C35" s="15"/>
      <c r="D35" s="15">
        <f t="shared" ref="D35:X35" ca="1" si="19">D33/C33-1</f>
        <v>0</v>
      </c>
      <c r="E35" s="15">
        <f t="shared" ca="1" si="19"/>
        <v>0.21999999999999997</v>
      </c>
      <c r="F35" s="15">
        <f t="shared" ca="1" si="19"/>
        <v>0.1475409836065571</v>
      </c>
      <c r="G35" s="15">
        <f t="shared" ca="1" si="19"/>
        <v>0.12857142857142878</v>
      </c>
      <c r="H35" s="15">
        <f t="shared" ca="1" si="19"/>
        <v>0.18987341772151889</v>
      </c>
      <c r="I35" s="15">
        <f t="shared" ca="1" si="19"/>
        <v>0.26595744680851041</v>
      </c>
      <c r="J35" s="15">
        <f t="shared" ca="1" si="19"/>
        <v>3.3613445378151363E-2</v>
      </c>
      <c r="K35" s="15">
        <f t="shared" ca="1" si="19"/>
        <v>3.2520325203251987E-2</v>
      </c>
      <c r="L35" s="15">
        <f t="shared" ca="1" si="19"/>
        <v>3.1496062992126594E-2</v>
      </c>
      <c r="M35" s="15">
        <f t="shared" ca="1" si="19"/>
        <v>3.0534351145037997E-2</v>
      </c>
      <c r="N35" s="15">
        <f t="shared" ca="1" si="19"/>
        <v>4.4444444444444509E-2</v>
      </c>
      <c r="O35" s="15">
        <f t="shared" ca="1" si="19"/>
        <v>3.5460992907801359E-2</v>
      </c>
      <c r="P35" s="15">
        <f t="shared" ca="1" si="19"/>
        <v>3.4246575342465446E-2</v>
      </c>
      <c r="Q35" s="15">
        <f t="shared" ca="1" si="19"/>
        <v>3.9735099337748325E-2</v>
      </c>
      <c r="R35" s="15">
        <f t="shared" ca="1" si="19"/>
        <v>3.821656050955391E-2</v>
      </c>
      <c r="S35" s="15">
        <f t="shared" ca="1" si="19"/>
        <v>3.6870525945763566E-2</v>
      </c>
      <c r="T35" s="15">
        <f t="shared" ca="1" si="19"/>
        <v>3.687052594576401E-2</v>
      </c>
      <c r="U35" s="15">
        <f t="shared" ca="1" si="19"/>
        <v>3.6870525945763788E-2</v>
      </c>
      <c r="V35" s="15">
        <f t="shared" ca="1" si="19"/>
        <v>3.687052594576401E-2</v>
      </c>
      <c r="W35" s="15">
        <f t="shared" ca="1" si="19"/>
        <v>3.687052594576401E-2</v>
      </c>
      <c r="X35" s="15">
        <f t="shared" ca="1" si="19"/>
        <v>3.6870525945763788E-2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50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19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219</v>
      </c>
      <c r="D41" s="74">
        <f ca="1">VALUE(OFFSET(SourceData!$A$4,$B$40+D$2-2011,SourceData!$D$1+General!$B$1))</f>
        <v>239</v>
      </c>
      <c r="E41" s="74">
        <f ca="1">VALUE(OFFSET(SourceData!$A$4,$B$40+E$2-2011,SourceData!$D$1+General!$B$1))</f>
        <v>337</v>
      </c>
      <c r="F41" s="74">
        <f ca="1">VALUE(OFFSET(SourceData!$A$4,$B$40+F$2-2011,SourceData!$D$1+General!$B$1))</f>
        <v>414</v>
      </c>
      <c r="G41" s="74">
        <f ca="1">VALUE(OFFSET(SourceData!$A$4,$B$40+G$2-2011,SourceData!$D$1+General!$B$1))</f>
        <v>496</v>
      </c>
      <c r="H41" s="74">
        <f ca="1">VALUE(OFFSET(SourceData!$A$4,$B$40+H$2-2011,SourceData!$D$1+General!$B$1))</f>
        <v>586</v>
      </c>
      <c r="I41" s="74">
        <f ca="1">VALUE(OFFSET(SourceData!$A$4,$B$40+I$2-2011,SourceData!$D$1+General!$B$1))</f>
        <v>747</v>
      </c>
      <c r="J41" s="74">
        <f ca="1">VALUE(OFFSET(SourceData!$A$4,$B$40+J$2-2011,SourceData!$D$1+General!$B$1))</f>
        <v>771</v>
      </c>
      <c r="K41" s="74">
        <f ca="1">VALUE(OFFSET(SourceData!$A$4,$B$40+K$2-2011,SourceData!$D$1+General!$B$1))</f>
        <v>796</v>
      </c>
      <c r="L41" s="74">
        <f ca="1">VALUE(OFFSET(SourceData!$A$4,$B$40+L$2-2011,SourceData!$D$1+General!$B$1))</f>
        <v>821</v>
      </c>
      <c r="M41" s="74">
        <f ca="1">VALUE(OFFSET(SourceData!$A$4,$B$40+M$2-2011,SourceData!$D$1+General!$B$1))</f>
        <v>847</v>
      </c>
      <c r="N41" s="74">
        <f ca="1">VALUE(OFFSET(SourceData!$A$4,$B$40+N$2-2011,SourceData!$D$1+General!$B$1))</f>
        <v>879</v>
      </c>
      <c r="O41" s="74">
        <f ca="1">VALUE(OFFSET(SourceData!$A$4,$B$40+O$2-2011,SourceData!$D$1+General!$B$1))</f>
        <v>912</v>
      </c>
      <c r="P41" s="74">
        <f ca="1">VALUE(OFFSET(SourceData!$A$4,$B$40+P$2-2011,SourceData!$D$1+General!$B$1))</f>
        <v>945</v>
      </c>
      <c r="Q41" s="74">
        <f ca="1">VALUE(OFFSET(SourceData!$A$4,$B$40+Q$2-2011,SourceData!$D$1+General!$B$1))</f>
        <v>980</v>
      </c>
      <c r="R41" s="74">
        <f ca="1">VALUE(OFFSET(SourceData!$A$4,$B$40+R$2-2011,SourceData!$D$1+General!$B$1))</f>
        <v>1017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9.1324200913242004E-2</v>
      </c>
      <c r="E42" s="21">
        <f t="shared" ref="E42:R42" ca="1" si="20">E41/D41-1</f>
        <v>0.41004184100418417</v>
      </c>
      <c r="F42" s="21">
        <f t="shared" ca="1" si="20"/>
        <v>0.228486646884273</v>
      </c>
      <c r="G42" s="21">
        <f t="shared" ca="1" si="20"/>
        <v>0.19806763285024154</v>
      </c>
      <c r="H42" s="21">
        <f t="shared" ca="1" si="20"/>
        <v>0.18145161290322576</v>
      </c>
      <c r="I42" s="21">
        <f t="shared" ca="1" si="20"/>
        <v>0.27474402730375425</v>
      </c>
      <c r="J42" s="21">
        <f t="shared" ca="1" si="20"/>
        <v>3.2128514056224855E-2</v>
      </c>
      <c r="K42" s="21">
        <f t="shared" ca="1" si="20"/>
        <v>3.2425421530480003E-2</v>
      </c>
      <c r="L42" s="21">
        <f t="shared" ca="1" si="20"/>
        <v>3.1407035175879505E-2</v>
      </c>
      <c r="M42" s="21">
        <f t="shared" ca="1" si="20"/>
        <v>3.1668696711327549E-2</v>
      </c>
      <c r="N42" s="21">
        <f t="shared" ca="1" si="20"/>
        <v>3.7780401416765086E-2</v>
      </c>
      <c r="O42" s="21">
        <f t="shared" ca="1" si="20"/>
        <v>3.7542662116040848E-2</v>
      </c>
      <c r="P42" s="21">
        <f t="shared" ca="1" si="20"/>
        <v>3.6184210526315708E-2</v>
      </c>
      <c r="Q42" s="21">
        <f t="shared" ca="1" si="20"/>
        <v>3.7037037037036979E-2</v>
      </c>
      <c r="R42" s="21">
        <f t="shared" ca="1" si="20"/>
        <v>3.7755102040816224E-2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50</v>
      </c>
      <c r="D44" s="74">
        <f ca="1">VALUE(OFFSET(SourceData!$A$4,$B$40+D$2-2011,SourceData!$J$1+General!$B$1))</f>
        <v>50</v>
      </c>
      <c r="E44" s="74">
        <f ca="1">VALUE(OFFSET(SourceData!$A$4,$B$40+E$2-2011,SourceData!$J$1+General!$B$1))</f>
        <v>61</v>
      </c>
      <c r="F44" s="74">
        <f ca="1">VALUE(OFFSET(SourceData!$A$4,$B$40+F$2-2011,SourceData!$J$1+General!$B$1))</f>
        <v>70</v>
      </c>
      <c r="G44" s="74">
        <f ca="1">VALUE(OFFSET(SourceData!$A$4,$B$40+G$2-2011,SourceData!$J$1+General!$B$1))</f>
        <v>79</v>
      </c>
      <c r="H44" s="74">
        <f ca="1">VALUE(OFFSET(SourceData!$A$4,$B$40+H$2-2011,SourceData!$J$1+General!$B$1))</f>
        <v>94</v>
      </c>
      <c r="I44" s="74">
        <f ca="1">VALUE(OFFSET(SourceData!$A$4,$B$40+I$2-2011,SourceData!$J$1+General!$B$1))</f>
        <v>119</v>
      </c>
      <c r="J44" s="74">
        <f ca="1">VALUE(OFFSET(SourceData!$A$4,$B$40+J$2-2011,SourceData!$J$1+General!$B$1))</f>
        <v>123</v>
      </c>
      <c r="K44" s="74">
        <f ca="1">VALUE(OFFSET(SourceData!$A$4,$B$40+K$2-2011,SourceData!$J$1+General!$B$1))</f>
        <v>127</v>
      </c>
      <c r="L44" s="74">
        <f ca="1">VALUE(OFFSET(SourceData!$A$4,$B$40+L$2-2011,SourceData!$J$1+General!$B$1))</f>
        <v>131</v>
      </c>
      <c r="M44" s="74">
        <f ca="1">VALUE(OFFSET(SourceData!$A$4,$B$40+M$2-2011,SourceData!$J$1+General!$B$1))</f>
        <v>135</v>
      </c>
      <c r="N44" s="74">
        <f ca="1">VALUE(OFFSET(SourceData!$A$4,$B$40+N$2-2011,SourceData!$J$1+General!$B$1))</f>
        <v>141</v>
      </c>
      <c r="O44" s="74">
        <f ca="1">VALUE(OFFSET(SourceData!$A$4,$B$40+O$2-2011,SourceData!$J$1+General!$B$1))</f>
        <v>146</v>
      </c>
      <c r="P44" s="74">
        <f ca="1">VALUE(OFFSET(SourceData!$A$4,$B$40+P$2-2011,SourceData!$J$1+General!$B$1))</f>
        <v>151</v>
      </c>
      <c r="Q44" s="74">
        <f ca="1">VALUE(OFFSET(SourceData!$A$4,$B$40+Q$2-2011,SourceData!$J$1+General!$B$1))</f>
        <v>157</v>
      </c>
      <c r="R44" s="74">
        <f ca="1">VALUE(OFFSET(SourceData!$A$4,$B$40+R$2-2011,SourceData!$J$1+General!$B$1))</f>
        <v>163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21">E44/D44-1</f>
        <v>0.21999999999999997</v>
      </c>
      <c r="F45" s="17">
        <f t="shared" ca="1" si="21"/>
        <v>0.14754098360655732</v>
      </c>
      <c r="G45" s="17">
        <f t="shared" ca="1" si="21"/>
        <v>0.12857142857142856</v>
      </c>
      <c r="H45" s="17">
        <f t="shared" ca="1" si="21"/>
        <v>0.18987341772151889</v>
      </c>
      <c r="I45" s="17">
        <f t="shared" ca="1" si="21"/>
        <v>0.26595744680851063</v>
      </c>
      <c r="J45" s="17">
        <f t="shared" ca="1" si="21"/>
        <v>3.3613445378151363E-2</v>
      </c>
      <c r="K45" s="17">
        <f t="shared" ca="1" si="21"/>
        <v>3.2520325203251987E-2</v>
      </c>
      <c r="L45" s="17">
        <f t="shared" ca="1" si="21"/>
        <v>3.1496062992125928E-2</v>
      </c>
      <c r="M45" s="17">
        <f t="shared" ca="1" si="21"/>
        <v>3.0534351145038219E-2</v>
      </c>
      <c r="N45" s="17">
        <f t="shared" ca="1" si="21"/>
        <v>4.4444444444444509E-2</v>
      </c>
      <c r="O45" s="17">
        <f t="shared" ca="1" si="21"/>
        <v>3.5460992907801359E-2</v>
      </c>
      <c r="P45" s="17">
        <f t="shared" ca="1" si="21"/>
        <v>3.4246575342465668E-2</v>
      </c>
      <c r="Q45" s="17">
        <f t="shared" ca="1" si="21"/>
        <v>3.9735099337748325E-2</v>
      </c>
      <c r="R45" s="17">
        <f t="shared" ca="1" si="21"/>
        <v>3.8216560509554132E-2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10" sqref="C10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74</v>
      </c>
      <c r="B2" s="26" t="str">
        <f>VLOOKUP(A2,General!$A$9:$B$23,2,FALSE)</f>
        <v>GBI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</v>
      </c>
      <c r="E4" s="27">
        <f t="shared" ref="E4:R4" ca="1" si="1">E42</f>
        <v>5.6737588652482351E-2</v>
      </c>
      <c r="F4" s="27">
        <f t="shared" ca="1" si="1"/>
        <v>5.3691275167785157E-2</v>
      </c>
      <c r="G4" s="27">
        <f t="shared" ca="1" si="1"/>
        <v>6.3694267515923553E-2</v>
      </c>
      <c r="H4" s="27">
        <f t="shared" ca="1" si="1"/>
        <v>5.3892215568862367E-2</v>
      </c>
      <c r="I4" s="27">
        <f t="shared" ca="1" si="1"/>
        <v>6.25E-2</v>
      </c>
      <c r="J4" s="27">
        <f t="shared" ca="1" si="1"/>
        <v>0.24598930481283432</v>
      </c>
      <c r="K4" s="27">
        <f t="shared" ca="1" si="1"/>
        <v>0.20600858369098707</v>
      </c>
      <c r="L4" s="27">
        <f t="shared" ca="1" si="1"/>
        <v>0.18149466192170816</v>
      </c>
      <c r="M4" s="27">
        <f t="shared" ca="1" si="1"/>
        <v>0.15963855421686746</v>
      </c>
      <c r="N4" s="27">
        <f t="shared" ca="1" si="1"/>
        <v>0.1454545454545455</v>
      </c>
      <c r="O4" s="27">
        <f t="shared" ca="1" si="1"/>
        <v>5.4421768707483054E-2</v>
      </c>
      <c r="P4" s="27">
        <f t="shared" ca="1" si="1"/>
        <v>5.5913978494623651E-2</v>
      </c>
      <c r="Q4" s="27">
        <f t="shared" ca="1" si="1"/>
        <v>5.2953156822810543E-2</v>
      </c>
      <c r="R4" s="27">
        <f t="shared" ca="1" si="1"/>
        <v>5.415860735009681E-2</v>
      </c>
      <c r="S4" s="17">
        <f ca="1">$W$4</f>
        <v>5.1924179110171886E-2</v>
      </c>
      <c r="T4" s="17">
        <f t="shared" ref="T4:V4" ca="1" si="2">$W$4</f>
        <v>5.1924179110171886E-2</v>
      </c>
      <c r="U4" s="17">
        <f t="shared" ca="1" si="2"/>
        <v>5.1924179110171886E-2</v>
      </c>
      <c r="V4" s="17">
        <f t="shared" ca="1" si="2"/>
        <v>5.1924179110171886E-2</v>
      </c>
      <c r="W4" s="17">
        <f ca="1">SUMIF(SourceData!$AO$3:$BA$3,$B$2,SourceData!$AO$25:$BA$25)</f>
        <v>5.1924179110171886E-2</v>
      </c>
      <c r="X4" s="73">
        <f ca="1">W4</f>
        <v>5.1924179110171886E-2</v>
      </c>
      <c r="Y4" s="17">
        <f ca="1">SUMIF(SourceData!$AO$3:$BA$3,$B$2,SourceData!$AO$27:$BA$27)</f>
        <v>4.8173873366200048E-2</v>
      </c>
      <c r="Z4" s="17">
        <f ca="1">SUMIF(SourceData!$AO$3:$BA$3,$B$2,SourceData!$AO$28:$BA$28)</f>
        <v>4.4423567622228211E-2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119.85</v>
      </c>
      <c r="D5" s="6">
        <f t="shared" ref="D5:H5" ca="1" si="3">D41*(1-D7)*(1-D10)</f>
        <v>119.85</v>
      </c>
      <c r="E5" s="6">
        <f t="shared" ca="1" si="3"/>
        <v>126.64999999999999</v>
      </c>
      <c r="F5" s="6">
        <f t="shared" ca="1" si="3"/>
        <v>133.44999999999999</v>
      </c>
      <c r="G5" s="6">
        <f t="shared" ca="1" si="3"/>
        <v>141.94999999999999</v>
      </c>
      <c r="H5" s="6">
        <f t="shared" ca="1" si="3"/>
        <v>149.6</v>
      </c>
      <c r="I5" s="7">
        <f t="shared" ref="I5:X5" ca="1" si="4">H5*(1+I4)</f>
        <v>158.94999999999999</v>
      </c>
      <c r="J5" s="7">
        <f t="shared" ca="1" si="4"/>
        <v>198.05</v>
      </c>
      <c r="K5" s="7">
        <f t="shared" ca="1" si="4"/>
        <v>238.85</v>
      </c>
      <c r="L5" s="7">
        <f t="shared" ca="1" si="4"/>
        <v>282.2</v>
      </c>
      <c r="M5" s="7">
        <f t="shared" ca="1" si="4"/>
        <v>327.25</v>
      </c>
      <c r="N5" s="7">
        <f t="shared" ca="1" si="4"/>
        <v>374.85</v>
      </c>
      <c r="O5" s="7">
        <f t="shared" ca="1" si="4"/>
        <v>395.25000000000006</v>
      </c>
      <c r="P5" s="7">
        <f t="shared" ca="1" si="4"/>
        <v>417.35000000000008</v>
      </c>
      <c r="Q5" s="7">
        <f t="shared" ca="1" si="4"/>
        <v>439.45000000000005</v>
      </c>
      <c r="R5" s="7">
        <f t="shared" ca="1" si="4"/>
        <v>463.25000000000011</v>
      </c>
      <c r="S5" s="7">
        <f t="shared" ca="1" si="4"/>
        <v>487.30387597278724</v>
      </c>
      <c r="T5" s="7">
        <f t="shared" ca="1" si="4"/>
        <v>512.60672970987923</v>
      </c>
      <c r="U5" s="7">
        <f t="shared" ca="1" si="4"/>
        <v>539.22341335641443</v>
      </c>
      <c r="V5" s="7">
        <f t="shared" ca="1" si="4"/>
        <v>567.22214645193117</v>
      </c>
      <c r="W5" s="7">
        <f t="shared" ca="1" si="4"/>
        <v>596.67469077955741</v>
      </c>
      <c r="X5" s="7">
        <f t="shared" ca="1" si="4"/>
        <v>627.65653429410156</v>
      </c>
      <c r="Y5" s="7">
        <f ca="1">W5*(1+Y4)^(Y2-W2)</f>
        <v>955.14854863138919</v>
      </c>
      <c r="Z5" s="7">
        <f t="shared" ref="Z5:AA5" ca="1" si="5">Y5*(1+Z4)^(Z2-Y2)</f>
        <v>1475.1546483561963</v>
      </c>
      <c r="AA5" s="7">
        <f t="shared" ca="1" si="5"/>
        <v>1475.1546483561963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80">
        <f>($H$7-$C$7)/($H$2-$C$2)+C7</f>
        <v>0</v>
      </c>
      <c r="E7" s="80">
        <f t="shared" ref="E7:G7" si="6">($H$7-$C$7)/($H$2-$C$2)+D7</f>
        <v>0</v>
      </c>
      <c r="F7" s="80">
        <f t="shared" si="6"/>
        <v>0</v>
      </c>
      <c r="G7" s="80">
        <f t="shared" si="6"/>
        <v>0</v>
      </c>
      <c r="H7" s="22">
        <v>0</v>
      </c>
      <c r="I7" s="28">
        <f t="shared" ref="I7:AA7" si="7">H7</f>
        <v>0</v>
      </c>
      <c r="J7" s="28">
        <f t="shared" si="7"/>
        <v>0</v>
      </c>
      <c r="K7" s="28">
        <f t="shared" si="7"/>
        <v>0</v>
      </c>
      <c r="L7" s="28">
        <f t="shared" si="7"/>
        <v>0</v>
      </c>
      <c r="M7" s="28">
        <f t="shared" si="7"/>
        <v>0</v>
      </c>
      <c r="N7" s="28">
        <f t="shared" si="7"/>
        <v>0</v>
      </c>
      <c r="O7" s="28">
        <f t="shared" si="7"/>
        <v>0</v>
      </c>
      <c r="P7" s="28">
        <f t="shared" si="7"/>
        <v>0</v>
      </c>
      <c r="Q7" s="28">
        <f t="shared" si="7"/>
        <v>0</v>
      </c>
      <c r="R7" s="28">
        <f t="shared" si="7"/>
        <v>0</v>
      </c>
      <c r="S7" s="28">
        <f t="shared" si="7"/>
        <v>0</v>
      </c>
      <c r="T7" s="28">
        <f t="shared" si="7"/>
        <v>0</v>
      </c>
      <c r="U7" s="28">
        <f t="shared" si="7"/>
        <v>0</v>
      </c>
      <c r="V7" s="28">
        <f t="shared" si="7"/>
        <v>0</v>
      </c>
      <c r="W7" s="28">
        <f t="shared" si="7"/>
        <v>0</v>
      </c>
      <c r="X7" s="28">
        <f t="shared" si="7"/>
        <v>0</v>
      </c>
      <c r="Y7" s="28">
        <f t="shared" si="7"/>
        <v>0</v>
      </c>
      <c r="Z7" s="28">
        <f t="shared" si="7"/>
        <v>0</v>
      </c>
      <c r="AA7" s="28">
        <f t="shared" si="7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8">C5/(1-C7)</f>
        <v>119.85</v>
      </c>
      <c r="D8" s="8">
        <f t="shared" ca="1" si="8"/>
        <v>119.85</v>
      </c>
      <c r="E8" s="8">
        <f t="shared" ca="1" si="8"/>
        <v>126.64999999999999</v>
      </c>
      <c r="F8" s="8">
        <f t="shared" ca="1" si="8"/>
        <v>133.44999999999999</v>
      </c>
      <c r="G8" s="8">
        <f t="shared" ca="1" si="8"/>
        <v>141.94999999999999</v>
      </c>
      <c r="H8" s="8">
        <f t="shared" ca="1" si="8"/>
        <v>149.6</v>
      </c>
      <c r="I8" s="8">
        <f t="shared" ca="1" si="8"/>
        <v>158.94999999999999</v>
      </c>
      <c r="J8" s="8">
        <f t="shared" ca="1" si="8"/>
        <v>198.05</v>
      </c>
      <c r="K8" s="8">
        <f t="shared" ca="1" si="8"/>
        <v>238.85</v>
      </c>
      <c r="L8" s="8">
        <f t="shared" ca="1" si="8"/>
        <v>282.2</v>
      </c>
      <c r="M8" s="8">
        <f t="shared" ca="1" si="8"/>
        <v>327.25</v>
      </c>
      <c r="N8" s="8">
        <f t="shared" ca="1" si="8"/>
        <v>374.85</v>
      </c>
      <c r="O8" s="8">
        <f t="shared" ca="1" si="8"/>
        <v>395.25000000000006</v>
      </c>
      <c r="P8" s="8">
        <f t="shared" ca="1" si="8"/>
        <v>417.35000000000008</v>
      </c>
      <c r="Q8" s="8">
        <f t="shared" ca="1" si="8"/>
        <v>439.45000000000005</v>
      </c>
      <c r="R8" s="8">
        <f t="shared" ca="1" si="8"/>
        <v>463.25000000000011</v>
      </c>
      <c r="S8" s="8">
        <f t="shared" ca="1" si="8"/>
        <v>487.30387597278724</v>
      </c>
      <c r="T8" s="8">
        <f t="shared" ca="1" si="8"/>
        <v>512.60672970987923</v>
      </c>
      <c r="U8" s="8">
        <f t="shared" ca="1" si="8"/>
        <v>539.22341335641443</v>
      </c>
      <c r="V8" s="8">
        <f t="shared" ca="1" si="8"/>
        <v>567.22214645193117</v>
      </c>
      <c r="W8" s="8">
        <f t="shared" ca="1" si="8"/>
        <v>596.67469077955741</v>
      </c>
      <c r="X8" s="8">
        <f t="shared" ca="1" si="8"/>
        <v>627.65653429410156</v>
      </c>
      <c r="Y8" s="8">
        <f t="shared" ca="1" si="8"/>
        <v>955.14854863138919</v>
      </c>
      <c r="Z8" s="8">
        <f t="shared" ca="1" si="8"/>
        <v>1475.1546483561963</v>
      </c>
      <c r="AA8" s="8">
        <f t="shared" ca="1" si="8"/>
        <v>1475.1546483561963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9">D10</f>
        <v>0.15</v>
      </c>
      <c r="F10" s="27">
        <f t="shared" si="9"/>
        <v>0.15</v>
      </c>
      <c r="G10" s="27">
        <f t="shared" si="9"/>
        <v>0.15</v>
      </c>
      <c r="H10" s="27">
        <f t="shared" si="9"/>
        <v>0.15</v>
      </c>
      <c r="I10" s="27">
        <f t="shared" si="9"/>
        <v>0.15</v>
      </c>
      <c r="J10" s="27">
        <f t="shared" si="9"/>
        <v>0.15</v>
      </c>
      <c r="K10" s="27">
        <f t="shared" si="9"/>
        <v>0.15</v>
      </c>
      <c r="L10" s="27">
        <f t="shared" si="9"/>
        <v>0.15</v>
      </c>
      <c r="M10" s="27">
        <f t="shared" si="9"/>
        <v>0.15</v>
      </c>
      <c r="N10" s="27">
        <f t="shared" si="9"/>
        <v>0.15</v>
      </c>
      <c r="O10" s="27">
        <f t="shared" si="9"/>
        <v>0.15</v>
      </c>
      <c r="P10" s="27">
        <f t="shared" si="9"/>
        <v>0.15</v>
      </c>
      <c r="Q10" s="27">
        <f t="shared" si="9"/>
        <v>0.15</v>
      </c>
      <c r="R10" s="27">
        <f t="shared" si="9"/>
        <v>0.15</v>
      </c>
      <c r="S10" s="27">
        <f t="shared" si="9"/>
        <v>0.15</v>
      </c>
      <c r="T10" s="27">
        <f t="shared" si="9"/>
        <v>0.15</v>
      </c>
      <c r="U10" s="27">
        <f t="shared" si="9"/>
        <v>0.15</v>
      </c>
      <c r="V10" s="27">
        <f t="shared" si="9"/>
        <v>0.15</v>
      </c>
      <c r="W10" s="27">
        <f t="shared" si="9"/>
        <v>0.15</v>
      </c>
      <c r="X10" s="27">
        <f t="shared" si="9"/>
        <v>0.15</v>
      </c>
      <c r="Y10" s="27">
        <f t="shared" si="9"/>
        <v>0.15</v>
      </c>
      <c r="Z10" s="27">
        <f t="shared" si="9"/>
        <v>0.15</v>
      </c>
      <c r="AA10" s="27">
        <f t="shared" si="9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10">C8/(1-C10)</f>
        <v>141</v>
      </c>
      <c r="D11" s="8">
        <f t="shared" ca="1" si="10"/>
        <v>141</v>
      </c>
      <c r="E11" s="8">
        <f t="shared" ca="1" si="10"/>
        <v>149</v>
      </c>
      <c r="F11" s="8">
        <f t="shared" ca="1" si="10"/>
        <v>157</v>
      </c>
      <c r="G11" s="8">
        <f t="shared" ca="1" si="10"/>
        <v>167</v>
      </c>
      <c r="H11" s="8">
        <f t="shared" ca="1" si="10"/>
        <v>176</v>
      </c>
      <c r="I11" s="8">
        <f t="shared" ca="1" si="10"/>
        <v>187</v>
      </c>
      <c r="J11" s="8">
        <f t="shared" ca="1" si="10"/>
        <v>233.00000000000003</v>
      </c>
      <c r="K11" s="8">
        <f t="shared" ca="1" si="10"/>
        <v>281</v>
      </c>
      <c r="L11" s="8">
        <f t="shared" ca="1" si="10"/>
        <v>332</v>
      </c>
      <c r="M11" s="8">
        <f t="shared" ca="1" si="10"/>
        <v>385</v>
      </c>
      <c r="N11" s="8">
        <f t="shared" ca="1" si="10"/>
        <v>441.00000000000006</v>
      </c>
      <c r="O11" s="8">
        <f t="shared" ca="1" si="10"/>
        <v>465.00000000000006</v>
      </c>
      <c r="P11" s="8">
        <f t="shared" ca="1" si="10"/>
        <v>491.00000000000011</v>
      </c>
      <c r="Q11" s="8">
        <f t="shared" ca="1" si="10"/>
        <v>517.00000000000011</v>
      </c>
      <c r="R11" s="8">
        <f t="shared" ca="1" si="10"/>
        <v>545.00000000000011</v>
      </c>
      <c r="S11" s="8">
        <f t="shared" ca="1" si="10"/>
        <v>573.29867761504386</v>
      </c>
      <c r="T11" s="8">
        <f t="shared" ca="1" si="10"/>
        <v>603.06674083515202</v>
      </c>
      <c r="U11" s="8">
        <f t="shared" ca="1" si="10"/>
        <v>634.38048630166406</v>
      </c>
      <c r="V11" s="8">
        <f t="shared" ca="1" si="10"/>
        <v>667.32017229638961</v>
      </c>
      <c r="W11" s="8">
        <f t="shared" ca="1" si="10"/>
        <v>701.97022444653817</v>
      </c>
      <c r="X11" s="8">
        <f t="shared" ca="1" si="10"/>
        <v>738.41945211070777</v>
      </c>
      <c r="Y11" s="8">
        <f t="shared" ca="1" si="10"/>
        <v>1123.7041748604579</v>
      </c>
      <c r="Z11" s="8">
        <f t="shared" ca="1" si="10"/>
        <v>1735.4760568896427</v>
      </c>
      <c r="AA11" s="8">
        <f t="shared" ca="1" si="10"/>
        <v>1735.4760568896427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11">D13</f>
        <v>0</v>
      </c>
      <c r="F13" s="36">
        <f t="shared" si="11"/>
        <v>0</v>
      </c>
      <c r="G13" s="36">
        <f t="shared" si="11"/>
        <v>0</v>
      </c>
      <c r="H13" s="36">
        <f t="shared" si="11"/>
        <v>0</v>
      </c>
      <c r="I13" s="36">
        <f t="shared" si="11"/>
        <v>0</v>
      </c>
      <c r="J13" s="36">
        <f t="shared" si="11"/>
        <v>0</v>
      </c>
      <c r="K13" s="36">
        <f t="shared" si="11"/>
        <v>0</v>
      </c>
      <c r="L13" s="36">
        <f t="shared" si="11"/>
        <v>0</v>
      </c>
      <c r="M13" s="36">
        <f t="shared" si="11"/>
        <v>0</v>
      </c>
      <c r="N13" s="36">
        <f t="shared" si="11"/>
        <v>0</v>
      </c>
      <c r="O13" s="36">
        <f t="shared" si="11"/>
        <v>0</v>
      </c>
      <c r="P13" s="36">
        <f t="shared" si="11"/>
        <v>0</v>
      </c>
      <c r="Q13" s="36">
        <f t="shared" si="11"/>
        <v>0</v>
      </c>
      <c r="R13" s="36">
        <f t="shared" si="11"/>
        <v>0</v>
      </c>
      <c r="S13" s="36">
        <f t="shared" si="11"/>
        <v>0</v>
      </c>
      <c r="T13" s="36">
        <f t="shared" si="11"/>
        <v>0</v>
      </c>
      <c r="U13" s="36">
        <f t="shared" ref="U13:AA18" si="12">T13</f>
        <v>0</v>
      </c>
      <c r="V13" s="36">
        <f t="shared" si="12"/>
        <v>0</v>
      </c>
      <c r="W13" s="36">
        <f t="shared" si="12"/>
        <v>0</v>
      </c>
      <c r="X13" s="36">
        <f t="shared" si="12"/>
        <v>0</v>
      </c>
      <c r="Y13" s="36">
        <f t="shared" si="12"/>
        <v>0</v>
      </c>
      <c r="Z13" s="36">
        <f t="shared" si="12"/>
        <v>0</v>
      </c>
      <c r="AA13" s="36">
        <f t="shared" si="12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11"/>
        <v>0</v>
      </c>
      <c r="F14" s="36">
        <f t="shared" si="11"/>
        <v>0</v>
      </c>
      <c r="G14" s="36">
        <f t="shared" si="11"/>
        <v>0</v>
      </c>
      <c r="H14" s="36">
        <f t="shared" si="11"/>
        <v>0</v>
      </c>
      <c r="I14" s="36">
        <f t="shared" si="11"/>
        <v>0</v>
      </c>
      <c r="J14" s="36">
        <f t="shared" si="11"/>
        <v>0</v>
      </c>
      <c r="K14" s="36">
        <f t="shared" si="11"/>
        <v>0</v>
      </c>
      <c r="L14" s="36">
        <f t="shared" si="11"/>
        <v>0</v>
      </c>
      <c r="M14" s="36">
        <f t="shared" si="11"/>
        <v>0</v>
      </c>
      <c r="N14" s="36">
        <f t="shared" si="11"/>
        <v>0</v>
      </c>
      <c r="O14" s="36">
        <f t="shared" si="11"/>
        <v>0</v>
      </c>
      <c r="P14" s="36">
        <f t="shared" si="11"/>
        <v>0</v>
      </c>
      <c r="Q14" s="36">
        <f t="shared" si="11"/>
        <v>0</v>
      </c>
      <c r="R14" s="36">
        <f t="shared" si="11"/>
        <v>0</v>
      </c>
      <c r="S14" s="36">
        <f t="shared" si="11"/>
        <v>0</v>
      </c>
      <c r="T14" s="36">
        <f t="shared" si="11"/>
        <v>0</v>
      </c>
      <c r="U14" s="36">
        <f t="shared" si="12"/>
        <v>0</v>
      </c>
      <c r="V14" s="36">
        <f t="shared" si="12"/>
        <v>0</v>
      </c>
      <c r="W14" s="36">
        <f t="shared" si="12"/>
        <v>0</v>
      </c>
      <c r="X14" s="36">
        <f t="shared" si="12"/>
        <v>0</v>
      </c>
      <c r="Y14" s="36">
        <f t="shared" si="12"/>
        <v>0</v>
      </c>
      <c r="Z14" s="36">
        <f t="shared" si="12"/>
        <v>0</v>
      </c>
      <c r="AA14" s="36">
        <f t="shared" si="12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11"/>
        <v>0</v>
      </c>
      <c r="F15" s="36">
        <f t="shared" si="11"/>
        <v>0</v>
      </c>
      <c r="G15" s="36">
        <f t="shared" si="11"/>
        <v>0</v>
      </c>
      <c r="H15" s="36">
        <f t="shared" si="11"/>
        <v>0</v>
      </c>
      <c r="I15" s="36">
        <f t="shared" si="11"/>
        <v>0</v>
      </c>
      <c r="J15" s="36">
        <f t="shared" si="11"/>
        <v>0</v>
      </c>
      <c r="K15" s="36">
        <f t="shared" si="11"/>
        <v>0</v>
      </c>
      <c r="L15" s="36">
        <f t="shared" si="11"/>
        <v>0</v>
      </c>
      <c r="M15" s="36">
        <f t="shared" si="11"/>
        <v>0</v>
      </c>
      <c r="N15" s="36">
        <f t="shared" si="11"/>
        <v>0</v>
      </c>
      <c r="O15" s="36">
        <f t="shared" si="11"/>
        <v>0</v>
      </c>
      <c r="P15" s="36">
        <f t="shared" si="11"/>
        <v>0</v>
      </c>
      <c r="Q15" s="36">
        <f t="shared" si="11"/>
        <v>0</v>
      </c>
      <c r="R15" s="36">
        <f t="shared" si="11"/>
        <v>0</v>
      </c>
      <c r="S15" s="36">
        <f t="shared" si="11"/>
        <v>0</v>
      </c>
      <c r="T15" s="36">
        <f t="shared" si="11"/>
        <v>0</v>
      </c>
      <c r="U15" s="36">
        <f t="shared" si="12"/>
        <v>0</v>
      </c>
      <c r="V15" s="36">
        <f t="shared" si="12"/>
        <v>0</v>
      </c>
      <c r="W15" s="36">
        <f t="shared" si="12"/>
        <v>0</v>
      </c>
      <c r="X15" s="36">
        <f t="shared" si="12"/>
        <v>0</v>
      </c>
      <c r="Y15" s="36">
        <f t="shared" si="12"/>
        <v>0</v>
      </c>
      <c r="Z15" s="36">
        <f t="shared" si="12"/>
        <v>0</v>
      </c>
      <c r="AA15" s="36">
        <f t="shared" si="12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3">C16</f>
        <v>0</v>
      </c>
      <c r="E16" s="36">
        <f t="shared" si="11"/>
        <v>0</v>
      </c>
      <c r="F16" s="36">
        <f t="shared" si="11"/>
        <v>0</v>
      </c>
      <c r="G16" s="36">
        <f t="shared" si="11"/>
        <v>0</v>
      </c>
      <c r="H16" s="36">
        <f t="shared" si="11"/>
        <v>0</v>
      </c>
      <c r="I16" s="36">
        <f t="shared" si="11"/>
        <v>0</v>
      </c>
      <c r="J16" s="36">
        <f t="shared" si="11"/>
        <v>0</v>
      </c>
      <c r="K16" s="36">
        <f t="shared" si="11"/>
        <v>0</v>
      </c>
      <c r="L16" s="36">
        <f t="shared" si="11"/>
        <v>0</v>
      </c>
      <c r="M16" s="36">
        <f t="shared" si="11"/>
        <v>0</v>
      </c>
      <c r="N16" s="36">
        <f t="shared" si="11"/>
        <v>0</v>
      </c>
      <c r="O16" s="36">
        <f t="shared" si="11"/>
        <v>0</v>
      </c>
      <c r="P16" s="36">
        <f t="shared" si="11"/>
        <v>0</v>
      </c>
      <c r="Q16" s="36">
        <f t="shared" si="11"/>
        <v>0</v>
      </c>
      <c r="R16" s="36">
        <f t="shared" si="11"/>
        <v>0</v>
      </c>
      <c r="S16" s="36">
        <f t="shared" si="11"/>
        <v>0</v>
      </c>
      <c r="T16" s="36">
        <f t="shared" si="11"/>
        <v>0</v>
      </c>
      <c r="U16" s="36">
        <f t="shared" si="12"/>
        <v>0</v>
      </c>
      <c r="V16" s="36">
        <f t="shared" si="12"/>
        <v>0</v>
      </c>
      <c r="W16" s="36">
        <f t="shared" si="12"/>
        <v>0</v>
      </c>
      <c r="X16" s="36">
        <f t="shared" si="12"/>
        <v>0</v>
      </c>
      <c r="Y16" s="36">
        <f t="shared" si="12"/>
        <v>0</v>
      </c>
      <c r="Z16" s="36">
        <f t="shared" si="12"/>
        <v>0</v>
      </c>
      <c r="AA16" s="36">
        <f t="shared" si="12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3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0</v>
      </c>
      <c r="K17" s="36">
        <f t="shared" si="11"/>
        <v>0</v>
      </c>
      <c r="L17" s="36">
        <f t="shared" si="11"/>
        <v>0</v>
      </c>
      <c r="M17" s="36">
        <f t="shared" si="11"/>
        <v>0</v>
      </c>
      <c r="N17" s="36">
        <f t="shared" si="11"/>
        <v>0</v>
      </c>
      <c r="O17" s="36">
        <f t="shared" si="11"/>
        <v>0</v>
      </c>
      <c r="P17" s="36">
        <f t="shared" si="11"/>
        <v>0</v>
      </c>
      <c r="Q17" s="36">
        <f t="shared" si="11"/>
        <v>0</v>
      </c>
      <c r="R17" s="36">
        <f t="shared" si="11"/>
        <v>0</v>
      </c>
      <c r="S17" s="36">
        <f t="shared" si="11"/>
        <v>0</v>
      </c>
      <c r="T17" s="36">
        <f t="shared" si="11"/>
        <v>0</v>
      </c>
      <c r="U17" s="36">
        <f t="shared" si="12"/>
        <v>0</v>
      </c>
      <c r="V17" s="36">
        <f t="shared" si="12"/>
        <v>0</v>
      </c>
      <c r="W17" s="36">
        <f t="shared" si="12"/>
        <v>0</v>
      </c>
      <c r="X17" s="36">
        <f t="shared" si="12"/>
        <v>0</v>
      </c>
      <c r="Y17" s="36">
        <f t="shared" si="12"/>
        <v>0</v>
      </c>
      <c r="Z17" s="36">
        <f t="shared" si="12"/>
        <v>0</v>
      </c>
      <c r="AA17" s="36">
        <f t="shared" si="12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3"/>
        <v>0</v>
      </c>
      <c r="E18" s="36">
        <f t="shared" si="11"/>
        <v>0</v>
      </c>
      <c r="F18" s="36">
        <f t="shared" si="11"/>
        <v>0</v>
      </c>
      <c r="G18" s="36">
        <f t="shared" si="11"/>
        <v>0</v>
      </c>
      <c r="H18" s="36">
        <f t="shared" si="11"/>
        <v>0</v>
      </c>
      <c r="I18" s="36">
        <f t="shared" si="11"/>
        <v>0</v>
      </c>
      <c r="J18" s="36">
        <f t="shared" si="11"/>
        <v>0</v>
      </c>
      <c r="K18" s="36">
        <f t="shared" si="11"/>
        <v>0</v>
      </c>
      <c r="L18" s="36">
        <f t="shared" si="11"/>
        <v>0</v>
      </c>
      <c r="M18" s="36">
        <f t="shared" si="11"/>
        <v>0</v>
      </c>
      <c r="N18" s="36">
        <f t="shared" si="11"/>
        <v>0</v>
      </c>
      <c r="O18" s="36">
        <f t="shared" si="11"/>
        <v>0</v>
      </c>
      <c r="P18" s="36">
        <f t="shared" si="11"/>
        <v>0</v>
      </c>
      <c r="Q18" s="36">
        <f t="shared" si="11"/>
        <v>0</v>
      </c>
      <c r="R18" s="36">
        <f t="shared" si="11"/>
        <v>0</v>
      </c>
      <c r="S18" s="36">
        <f t="shared" si="11"/>
        <v>0</v>
      </c>
      <c r="T18" s="36">
        <f t="shared" si="11"/>
        <v>0</v>
      </c>
      <c r="U18" s="36">
        <f t="shared" si="12"/>
        <v>0</v>
      </c>
      <c r="V18" s="36">
        <f t="shared" si="12"/>
        <v>0</v>
      </c>
      <c r="W18" s="36">
        <f t="shared" si="12"/>
        <v>0</v>
      </c>
      <c r="X18" s="36">
        <f t="shared" si="12"/>
        <v>0</v>
      </c>
      <c r="Y18" s="36">
        <f t="shared" si="12"/>
        <v>0</v>
      </c>
      <c r="Z18" s="36">
        <f t="shared" si="12"/>
        <v>0</v>
      </c>
      <c r="AA18" s="36">
        <f t="shared" si="12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4">SUM(D13:D17)</f>
        <v>0</v>
      </c>
      <c r="E19" s="37">
        <f t="shared" si="14"/>
        <v>0</v>
      </c>
      <c r="F19" s="37">
        <f t="shared" si="14"/>
        <v>0</v>
      </c>
      <c r="G19" s="37">
        <f t="shared" si="14"/>
        <v>0</v>
      </c>
      <c r="H19" s="37">
        <f t="shared" si="14"/>
        <v>0</v>
      </c>
      <c r="I19" s="37">
        <f t="shared" si="14"/>
        <v>0</v>
      </c>
      <c r="J19" s="37">
        <f t="shared" si="14"/>
        <v>0</v>
      </c>
      <c r="K19" s="37">
        <f t="shared" si="14"/>
        <v>0</v>
      </c>
      <c r="L19" s="37">
        <f t="shared" si="14"/>
        <v>0</v>
      </c>
      <c r="M19" s="37">
        <f t="shared" si="14"/>
        <v>0</v>
      </c>
      <c r="N19" s="37">
        <f t="shared" si="14"/>
        <v>0</v>
      </c>
      <c r="O19" s="37">
        <f t="shared" si="14"/>
        <v>0</v>
      </c>
      <c r="P19" s="37">
        <f t="shared" si="14"/>
        <v>0</v>
      </c>
      <c r="Q19" s="37">
        <f t="shared" si="14"/>
        <v>0</v>
      </c>
      <c r="R19" s="37">
        <f t="shared" si="14"/>
        <v>0</v>
      </c>
      <c r="S19" s="37">
        <f t="shared" si="14"/>
        <v>0</v>
      </c>
      <c r="T19" s="37">
        <f t="shared" si="14"/>
        <v>0</v>
      </c>
      <c r="U19" s="37">
        <f t="shared" si="14"/>
        <v>0</v>
      </c>
      <c r="V19" s="37">
        <f t="shared" si="14"/>
        <v>0</v>
      </c>
      <c r="W19" s="37">
        <f t="shared" si="14"/>
        <v>0</v>
      </c>
      <c r="X19" s="37">
        <f t="shared" si="14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5">C19+C11</f>
        <v>141</v>
      </c>
      <c r="D20" s="39">
        <f t="shared" ca="1" si="15"/>
        <v>141</v>
      </c>
      <c r="E20" s="39">
        <f t="shared" ca="1" si="15"/>
        <v>149</v>
      </c>
      <c r="F20" s="39">
        <f t="shared" ca="1" si="15"/>
        <v>157</v>
      </c>
      <c r="G20" s="39">
        <f t="shared" ca="1" si="15"/>
        <v>167</v>
      </c>
      <c r="H20" s="39">
        <f t="shared" ca="1" si="15"/>
        <v>176</v>
      </c>
      <c r="I20" s="39">
        <f t="shared" ca="1" si="15"/>
        <v>187</v>
      </c>
      <c r="J20" s="39">
        <f t="shared" ca="1" si="15"/>
        <v>233.00000000000003</v>
      </c>
      <c r="K20" s="39">
        <f t="shared" ca="1" si="15"/>
        <v>281</v>
      </c>
      <c r="L20" s="39">
        <f t="shared" ca="1" si="15"/>
        <v>332</v>
      </c>
      <c r="M20" s="39">
        <f t="shared" ca="1" si="15"/>
        <v>385</v>
      </c>
      <c r="N20" s="39">
        <f t="shared" ca="1" si="15"/>
        <v>441.00000000000006</v>
      </c>
      <c r="O20" s="39">
        <f t="shared" ca="1" si="15"/>
        <v>465.00000000000006</v>
      </c>
      <c r="P20" s="39">
        <f t="shared" ca="1" si="15"/>
        <v>491.00000000000011</v>
      </c>
      <c r="Q20" s="39">
        <f t="shared" ca="1" si="15"/>
        <v>517.00000000000011</v>
      </c>
      <c r="R20" s="39">
        <f t="shared" ca="1" si="15"/>
        <v>545.00000000000011</v>
      </c>
      <c r="S20" s="39">
        <f t="shared" ca="1" si="15"/>
        <v>573.29867761504386</v>
      </c>
      <c r="T20" s="39">
        <f t="shared" ca="1" si="15"/>
        <v>603.06674083515202</v>
      </c>
      <c r="U20" s="39">
        <f t="shared" ca="1" si="15"/>
        <v>634.38048630166406</v>
      </c>
      <c r="V20" s="39">
        <f t="shared" ca="1" si="15"/>
        <v>667.32017229638961</v>
      </c>
      <c r="W20" s="39">
        <f t="shared" ca="1" si="15"/>
        <v>701.97022444653817</v>
      </c>
      <c r="X20" s="39">
        <f t="shared" ca="1" si="15"/>
        <v>738.41945211070777</v>
      </c>
      <c r="Y20" s="39">
        <f t="shared" ca="1" si="15"/>
        <v>1123.7041748604579</v>
      </c>
      <c r="Z20" s="39">
        <f t="shared" ca="1" si="15"/>
        <v>1735.4760568896427</v>
      </c>
      <c r="AA20" s="39">
        <f t="shared" ca="1" si="15"/>
        <v>1735.4760568896427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5.4</v>
      </c>
      <c r="D33" s="23">
        <f ca="1">D20/(D34*8.76)</f>
        <v>5.4</v>
      </c>
      <c r="E33" s="23">
        <f ca="1">E20/(E34*8.76)</f>
        <v>5.6</v>
      </c>
      <c r="F33" s="23">
        <f t="shared" ref="F33:X33" ca="1" si="16">F20/(F34*8.76)</f>
        <v>5.8000000000000007</v>
      </c>
      <c r="G33" s="23">
        <f t="shared" ca="1" si="16"/>
        <v>6</v>
      </c>
      <c r="H33" s="23">
        <f t="shared" ca="1" si="16"/>
        <v>6.2</v>
      </c>
      <c r="I33" s="23">
        <f t="shared" ca="1" si="16"/>
        <v>6.4</v>
      </c>
      <c r="J33" s="23">
        <f t="shared" ca="1" si="16"/>
        <v>6.6000000000000005</v>
      </c>
      <c r="K33" s="23">
        <f t="shared" ca="1" si="16"/>
        <v>6.8000000000000007</v>
      </c>
      <c r="L33" s="23">
        <f t="shared" ca="1" si="16"/>
        <v>7</v>
      </c>
      <c r="M33" s="23">
        <f t="shared" ca="1" si="16"/>
        <v>7.2</v>
      </c>
      <c r="N33" s="23">
        <f t="shared" ca="1" si="16"/>
        <v>7.5000000000000027</v>
      </c>
      <c r="O33" s="23">
        <f t="shared" ca="1" si="16"/>
        <v>7.7000000000000011</v>
      </c>
      <c r="P33" s="23">
        <f t="shared" ca="1" si="16"/>
        <v>8.0000000000000018</v>
      </c>
      <c r="Q33" s="23">
        <f t="shared" ca="1" si="16"/>
        <v>8.2000000000000011</v>
      </c>
      <c r="R33" s="23">
        <f t="shared" ca="1" si="16"/>
        <v>8.5</v>
      </c>
      <c r="S33" s="23">
        <f t="shared" ca="1" si="16"/>
        <v>8.9413555224364636</v>
      </c>
      <c r="T33" s="23">
        <f t="shared" ca="1" si="16"/>
        <v>9.4056280680711772</v>
      </c>
      <c r="U33" s="23">
        <f t="shared" ca="1" si="16"/>
        <v>9.8940075845213649</v>
      </c>
      <c r="V33" s="23">
        <f t="shared" ca="1" si="16"/>
        <v>10.407745806457452</v>
      </c>
      <c r="W33" s="23">
        <f t="shared" ca="1" si="16"/>
        <v>10.948159463845089</v>
      </c>
      <c r="X33" s="23">
        <f t="shared" ca="1" si="16"/>
        <v>11.516633656772505</v>
      </c>
    </row>
    <row r="34" spans="1:24" ht="15" x14ac:dyDescent="0.25">
      <c r="A34" s="1" t="s">
        <v>7</v>
      </c>
      <c r="C34" s="77">
        <f ca="1">C41/(C44*8.76)</f>
        <v>2.980720446473871</v>
      </c>
      <c r="D34" s="77">
        <f ca="1">D41/(D44*8.76)</f>
        <v>2.980720446473871</v>
      </c>
      <c r="E34" s="77">
        <f t="shared" ref="E34:R34" ca="1" si="17">E41/(E44*8.76)</f>
        <v>3.037345075016308</v>
      </c>
      <c r="F34" s="77">
        <f t="shared" ca="1" si="17"/>
        <v>3.0900645567627145</v>
      </c>
      <c r="G34" s="77">
        <f t="shared" ca="1" si="17"/>
        <v>3.1773211567732114</v>
      </c>
      <c r="H34" s="77">
        <f t="shared" ca="1" si="17"/>
        <v>3.2405361614376198</v>
      </c>
      <c r="I34" s="77">
        <f t="shared" ca="1" si="17"/>
        <v>3.3354737442922375</v>
      </c>
      <c r="J34" s="77">
        <f t="shared" ca="1" si="17"/>
        <v>4.0300262903002633</v>
      </c>
      <c r="K34" s="77">
        <f t="shared" ca="1" si="17"/>
        <v>4.7172978780553319</v>
      </c>
      <c r="L34" s="77">
        <f t="shared" ca="1" si="17"/>
        <v>5.4142204827136338</v>
      </c>
      <c r="M34" s="77">
        <f t="shared" ca="1" si="17"/>
        <v>6.1041349568746828</v>
      </c>
      <c r="N34" s="77">
        <f t="shared" ca="1" si="17"/>
        <v>6.712328767123287</v>
      </c>
      <c r="O34" s="77">
        <f t="shared" ca="1" si="17"/>
        <v>6.8937911403664831</v>
      </c>
      <c r="P34" s="77">
        <f t="shared" ca="1" si="17"/>
        <v>7.0062785388127855</v>
      </c>
      <c r="Q34" s="77">
        <f t="shared" ca="1" si="17"/>
        <v>7.1973493707539822</v>
      </c>
      <c r="R34" s="77">
        <f t="shared" ca="1" si="17"/>
        <v>7.319366102605426</v>
      </c>
      <c r="S34" s="14">
        <f t="shared" ref="S34:X34" ca="1" si="18">R34</f>
        <v>7.319366102605426</v>
      </c>
      <c r="T34" s="14">
        <f t="shared" ca="1" si="18"/>
        <v>7.319366102605426</v>
      </c>
      <c r="U34" s="14">
        <f t="shared" ca="1" si="18"/>
        <v>7.319366102605426</v>
      </c>
      <c r="V34" s="14">
        <f t="shared" ca="1" si="18"/>
        <v>7.319366102605426</v>
      </c>
      <c r="W34" s="14">
        <f t="shared" ca="1" si="18"/>
        <v>7.319366102605426</v>
      </c>
      <c r="X34" s="14">
        <f t="shared" ca="1" si="18"/>
        <v>7.319366102605426</v>
      </c>
    </row>
    <row r="35" spans="1:24" ht="15" x14ac:dyDescent="0.25">
      <c r="A35" s="1" t="s">
        <v>8</v>
      </c>
      <c r="C35" s="15"/>
      <c r="D35" s="15">
        <f t="shared" ref="D35:X35" ca="1" si="19">D33/C33-1</f>
        <v>0</v>
      </c>
      <c r="E35" s="15">
        <f t="shared" ca="1" si="19"/>
        <v>3.7037037037036979E-2</v>
      </c>
      <c r="F35" s="15">
        <f t="shared" ca="1" si="19"/>
        <v>3.5714285714285809E-2</v>
      </c>
      <c r="G35" s="15">
        <f t="shared" ca="1" si="19"/>
        <v>3.4482758620689502E-2</v>
      </c>
      <c r="H35" s="15">
        <f t="shared" ca="1" si="19"/>
        <v>3.3333333333333437E-2</v>
      </c>
      <c r="I35" s="15">
        <f t="shared" ca="1" si="19"/>
        <v>3.2258064516129004E-2</v>
      </c>
      <c r="J35" s="15">
        <f t="shared" ca="1" si="19"/>
        <v>3.125E-2</v>
      </c>
      <c r="K35" s="15">
        <f t="shared" ca="1" si="19"/>
        <v>3.0303030303030276E-2</v>
      </c>
      <c r="L35" s="15">
        <f t="shared" ca="1" si="19"/>
        <v>2.9411764705882248E-2</v>
      </c>
      <c r="M35" s="15">
        <f t="shared" ca="1" si="19"/>
        <v>2.8571428571428692E-2</v>
      </c>
      <c r="N35" s="15">
        <f t="shared" ca="1" si="19"/>
        <v>4.1666666666666963E-2</v>
      </c>
      <c r="O35" s="15">
        <f t="shared" ca="1" si="19"/>
        <v>2.6666666666666394E-2</v>
      </c>
      <c r="P35" s="15">
        <f t="shared" ca="1" si="19"/>
        <v>3.8961038961039085E-2</v>
      </c>
      <c r="Q35" s="15">
        <f t="shared" ca="1" si="19"/>
        <v>2.4999999999999911E-2</v>
      </c>
      <c r="R35" s="15">
        <f t="shared" ca="1" si="19"/>
        <v>3.6585365853658347E-2</v>
      </c>
      <c r="S35" s="15">
        <f t="shared" ca="1" si="19"/>
        <v>5.1924179110172108E-2</v>
      </c>
      <c r="T35" s="15">
        <f t="shared" ca="1" si="19"/>
        <v>5.1924179110171664E-2</v>
      </c>
      <c r="U35" s="15">
        <f t="shared" ca="1" si="19"/>
        <v>5.1924179110171886E-2</v>
      </c>
      <c r="V35" s="15">
        <f t="shared" ca="1" si="19"/>
        <v>5.1924179110171886E-2</v>
      </c>
      <c r="W35" s="15">
        <f t="shared" ca="1" si="19"/>
        <v>5.1924179110171886E-2</v>
      </c>
      <c r="X35" s="15">
        <f t="shared" ca="1" si="19"/>
        <v>5.1924179110171886E-2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5.4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37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141</v>
      </c>
      <c r="D41" s="74">
        <f ca="1">VALUE(OFFSET(SourceData!$A$4,$B$40+D$2-2011,SourceData!$D$1+General!$B$1))</f>
        <v>141</v>
      </c>
      <c r="E41" s="74">
        <f ca="1">VALUE(OFFSET(SourceData!$A$4,$B$40+E$2-2011,SourceData!$D$1+General!$B$1))</f>
        <v>149</v>
      </c>
      <c r="F41" s="74">
        <f ca="1">VALUE(OFFSET(SourceData!$A$4,$B$40+F$2-2011,SourceData!$D$1+General!$B$1))</f>
        <v>157</v>
      </c>
      <c r="G41" s="74">
        <f ca="1">VALUE(OFFSET(SourceData!$A$4,$B$40+G$2-2011,SourceData!$D$1+General!$B$1))</f>
        <v>167</v>
      </c>
      <c r="H41" s="74">
        <f ca="1">VALUE(OFFSET(SourceData!$A$4,$B$40+H$2-2011,SourceData!$D$1+General!$B$1))</f>
        <v>176</v>
      </c>
      <c r="I41" s="74">
        <f ca="1">VALUE(OFFSET(SourceData!$A$4,$B$40+I$2-2011,SourceData!$D$1+General!$B$1))</f>
        <v>187</v>
      </c>
      <c r="J41" s="74">
        <f ca="1">VALUE(OFFSET(SourceData!$A$4,$B$40+J$2-2011,SourceData!$D$1+General!$B$1))</f>
        <v>233</v>
      </c>
      <c r="K41" s="74">
        <f ca="1">VALUE(OFFSET(SourceData!$A$4,$B$40+K$2-2011,SourceData!$D$1+General!$B$1))</f>
        <v>281</v>
      </c>
      <c r="L41" s="74">
        <f ca="1">VALUE(OFFSET(SourceData!$A$4,$B$40+L$2-2011,SourceData!$D$1+General!$B$1))</f>
        <v>332</v>
      </c>
      <c r="M41" s="74">
        <f ca="1">VALUE(OFFSET(SourceData!$A$4,$B$40+M$2-2011,SourceData!$D$1+General!$B$1))</f>
        <v>385</v>
      </c>
      <c r="N41" s="74">
        <f ca="1">VALUE(OFFSET(SourceData!$A$4,$B$40+N$2-2011,SourceData!$D$1+General!$B$1))</f>
        <v>441</v>
      </c>
      <c r="O41" s="74">
        <f ca="1">VALUE(OFFSET(SourceData!$A$4,$B$40+O$2-2011,SourceData!$D$1+General!$B$1))</f>
        <v>465</v>
      </c>
      <c r="P41" s="74">
        <f ca="1">VALUE(OFFSET(SourceData!$A$4,$B$40+P$2-2011,SourceData!$D$1+General!$B$1))</f>
        <v>491</v>
      </c>
      <c r="Q41" s="74">
        <f ca="1">VALUE(OFFSET(SourceData!$A$4,$B$40+Q$2-2011,SourceData!$D$1+General!$B$1))</f>
        <v>517</v>
      </c>
      <c r="R41" s="74">
        <f ca="1">VALUE(OFFSET(SourceData!$A$4,$B$40+R$2-2011,SourceData!$D$1+General!$B$1))</f>
        <v>545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</v>
      </c>
      <c r="E42" s="21">
        <f t="shared" ref="E42:R42" ca="1" si="20">E41/D41-1</f>
        <v>5.6737588652482351E-2</v>
      </c>
      <c r="F42" s="21">
        <f t="shared" ca="1" si="20"/>
        <v>5.3691275167785157E-2</v>
      </c>
      <c r="G42" s="21">
        <f t="shared" ca="1" si="20"/>
        <v>6.3694267515923553E-2</v>
      </c>
      <c r="H42" s="21">
        <f t="shared" ca="1" si="20"/>
        <v>5.3892215568862367E-2</v>
      </c>
      <c r="I42" s="21">
        <f t="shared" ca="1" si="20"/>
        <v>6.25E-2</v>
      </c>
      <c r="J42" s="21">
        <f t="shared" ca="1" si="20"/>
        <v>0.24598930481283432</v>
      </c>
      <c r="K42" s="21">
        <f t="shared" ca="1" si="20"/>
        <v>0.20600858369098707</v>
      </c>
      <c r="L42" s="21">
        <f t="shared" ca="1" si="20"/>
        <v>0.18149466192170816</v>
      </c>
      <c r="M42" s="21">
        <f t="shared" ca="1" si="20"/>
        <v>0.15963855421686746</v>
      </c>
      <c r="N42" s="21">
        <f t="shared" ca="1" si="20"/>
        <v>0.1454545454545455</v>
      </c>
      <c r="O42" s="21">
        <f t="shared" ca="1" si="20"/>
        <v>5.4421768707483054E-2</v>
      </c>
      <c r="P42" s="21">
        <f t="shared" ca="1" si="20"/>
        <v>5.5913978494623651E-2</v>
      </c>
      <c r="Q42" s="21">
        <f t="shared" ca="1" si="20"/>
        <v>5.2953156822810543E-2</v>
      </c>
      <c r="R42" s="21">
        <f t="shared" ca="1" si="20"/>
        <v>5.415860735009681E-2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5.4</v>
      </c>
      <c r="D44" s="74">
        <f ca="1">VALUE(OFFSET(SourceData!$A$4,$B$40+D$2-2011,SourceData!$J$1+General!$B$1))</f>
        <v>5.4</v>
      </c>
      <c r="E44" s="74">
        <f ca="1">VALUE(OFFSET(SourceData!$A$4,$B$40+E$2-2011,SourceData!$J$1+General!$B$1))</f>
        <v>5.6</v>
      </c>
      <c r="F44" s="74">
        <f ca="1">VALUE(OFFSET(SourceData!$A$4,$B$40+F$2-2011,SourceData!$J$1+General!$B$1))</f>
        <v>5.8</v>
      </c>
      <c r="G44" s="74">
        <f ca="1">VALUE(OFFSET(SourceData!$A$4,$B$40+G$2-2011,SourceData!$J$1+General!$B$1))</f>
        <v>6</v>
      </c>
      <c r="H44" s="74">
        <f ca="1">VALUE(OFFSET(SourceData!$A$4,$B$40+H$2-2011,SourceData!$J$1+General!$B$1))</f>
        <v>6.2</v>
      </c>
      <c r="I44" s="74">
        <f ca="1">VALUE(OFFSET(SourceData!$A$4,$B$40+I$2-2011,SourceData!$J$1+General!$B$1))</f>
        <v>6.4</v>
      </c>
      <c r="J44" s="74">
        <f ca="1">VALUE(OFFSET(SourceData!$A$4,$B$40+J$2-2011,SourceData!$J$1+General!$B$1))</f>
        <v>6.6</v>
      </c>
      <c r="K44" s="74">
        <f ca="1">VALUE(OFFSET(SourceData!$A$4,$B$40+K$2-2011,SourceData!$J$1+General!$B$1))</f>
        <v>6.8</v>
      </c>
      <c r="L44" s="74">
        <f ca="1">VALUE(OFFSET(SourceData!$A$4,$B$40+L$2-2011,SourceData!$J$1+General!$B$1))</f>
        <v>7</v>
      </c>
      <c r="M44" s="74">
        <f ca="1">VALUE(OFFSET(SourceData!$A$4,$B$40+M$2-2011,SourceData!$J$1+General!$B$1))</f>
        <v>7.2</v>
      </c>
      <c r="N44" s="74">
        <f ca="1">VALUE(OFFSET(SourceData!$A$4,$B$40+N$2-2011,SourceData!$J$1+General!$B$1))</f>
        <v>7.5</v>
      </c>
      <c r="O44" s="74">
        <f ca="1">VALUE(OFFSET(SourceData!$A$4,$B$40+O$2-2011,SourceData!$J$1+General!$B$1))</f>
        <v>7.7</v>
      </c>
      <c r="P44" s="74">
        <f ca="1">VALUE(OFFSET(SourceData!$A$4,$B$40+P$2-2011,SourceData!$J$1+General!$B$1))</f>
        <v>8</v>
      </c>
      <c r="Q44" s="74">
        <f ca="1">VALUE(OFFSET(SourceData!$A$4,$B$40+Q$2-2011,SourceData!$J$1+General!$B$1))</f>
        <v>8.1999999999999993</v>
      </c>
      <c r="R44" s="74">
        <f ca="1">VALUE(OFFSET(SourceData!$A$4,$B$40+R$2-2011,SourceData!$J$1+General!$B$1))</f>
        <v>8.5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21">E44/D44-1</f>
        <v>3.7037037037036979E-2</v>
      </c>
      <c r="F45" s="17">
        <f t="shared" ca="1" si="21"/>
        <v>3.5714285714285809E-2</v>
      </c>
      <c r="G45" s="17">
        <f t="shared" ca="1" si="21"/>
        <v>3.4482758620689724E-2</v>
      </c>
      <c r="H45" s="17">
        <f t="shared" ca="1" si="21"/>
        <v>3.3333333333333437E-2</v>
      </c>
      <c r="I45" s="17">
        <f t="shared" ca="1" si="21"/>
        <v>3.2258064516129004E-2</v>
      </c>
      <c r="J45" s="17">
        <f t="shared" ca="1" si="21"/>
        <v>3.1249999999999778E-2</v>
      </c>
      <c r="K45" s="17">
        <f t="shared" ca="1" si="21"/>
        <v>3.0303030303030276E-2</v>
      </c>
      <c r="L45" s="17">
        <f t="shared" ca="1" si="21"/>
        <v>2.941176470588247E-2</v>
      </c>
      <c r="M45" s="17">
        <f t="shared" ca="1" si="21"/>
        <v>2.8571428571428692E-2</v>
      </c>
      <c r="N45" s="17">
        <f t="shared" ca="1" si="21"/>
        <v>4.1666666666666741E-2</v>
      </c>
      <c r="O45" s="17">
        <f t="shared" ca="1" si="21"/>
        <v>2.6666666666666616E-2</v>
      </c>
      <c r="P45" s="17">
        <f t="shared" ca="1" si="21"/>
        <v>3.8961038961038863E-2</v>
      </c>
      <c r="Q45" s="17">
        <f t="shared" ca="1" si="21"/>
        <v>2.4999999999999911E-2</v>
      </c>
      <c r="R45" s="17">
        <f t="shared" ca="1" si="21"/>
        <v>3.6585365853658569E-2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showDropDown="1" showInputMessage="1" showErrorMessage="1" sqref="B40"/>
    <dataValidation type="list" allowBlank="1" showInputMessage="1" showErrorMessage="1" sqref="B19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10" sqref="C10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72</v>
      </c>
      <c r="B2" s="26" t="str">
        <f>VLOOKUP(A2,General!$A$9:$B$23,2,FALSE)</f>
        <v>GUI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</v>
      </c>
      <c r="E4" s="27">
        <f t="shared" ref="E4:R4" ca="1" si="1">E42</f>
        <v>0.25</v>
      </c>
      <c r="F4" s="27">
        <f t="shared" ca="1" si="1"/>
        <v>0.22894736842105257</v>
      </c>
      <c r="G4" s="27">
        <f t="shared" ca="1" si="1"/>
        <v>0.17987152034261245</v>
      </c>
      <c r="H4" s="27">
        <f t="shared" ca="1" si="1"/>
        <v>0.41833030852994546</v>
      </c>
      <c r="I4" s="27">
        <f t="shared" ca="1" si="1"/>
        <v>9.9168266154830542E-2</v>
      </c>
      <c r="J4" s="27">
        <f t="shared" ca="1" si="1"/>
        <v>2.7939464493597299E-2</v>
      </c>
      <c r="K4" s="27">
        <f t="shared" ca="1" si="1"/>
        <v>3.0011325028312497E-2</v>
      </c>
      <c r="L4" s="27">
        <f t="shared" ca="1" si="1"/>
        <v>3.0786146234194511E-2</v>
      </c>
      <c r="M4" s="27">
        <f t="shared" ca="1" si="1"/>
        <v>3.3066666666666578E-2</v>
      </c>
      <c r="N4" s="27">
        <f t="shared" ca="1" si="1"/>
        <v>4.9044914816726903E-2</v>
      </c>
      <c r="O4" s="27">
        <f t="shared" ca="1" si="1"/>
        <v>3.3956692913385877E-2</v>
      </c>
      <c r="P4" s="27">
        <f t="shared" ca="1" si="1"/>
        <v>3.2841504045692638E-2</v>
      </c>
      <c r="Q4" s="27">
        <f t="shared" ca="1" si="1"/>
        <v>3.133640552995387E-2</v>
      </c>
      <c r="R4" s="27">
        <f t="shared" ca="1" si="1"/>
        <v>3.1277926720286064E-2</v>
      </c>
      <c r="S4" s="17">
        <f ca="1">$W$4</f>
        <v>2.6151224190554601E-2</v>
      </c>
      <c r="T4" s="17">
        <f t="shared" ref="T4:V4" ca="1" si="2">$W$4</f>
        <v>2.6151224190554601E-2</v>
      </c>
      <c r="U4" s="17">
        <f t="shared" ca="1" si="2"/>
        <v>2.6151224190554601E-2</v>
      </c>
      <c r="V4" s="17">
        <f t="shared" ca="1" si="2"/>
        <v>2.6151224190554601E-2</v>
      </c>
      <c r="W4" s="17">
        <f ca="1">SUMIF(SourceData!$AO$3:$BA$3,$B$2,SourceData!$AO$25:$BA$25)</f>
        <v>2.6151224190554601E-2</v>
      </c>
      <c r="X4" s="73">
        <f ca="1">W4</f>
        <v>2.6151224190554601E-2</v>
      </c>
      <c r="Y4" s="17">
        <f ca="1">SUMIF(SourceData!$AO$3:$BA$3,$B$2,SourceData!$AO$27:$BA$27)</f>
        <v>2.6151224190554601E-2</v>
      </c>
      <c r="Z4" s="17">
        <f ca="1">SUMIF(SourceData!$AO$3:$BA$3,$B$2,SourceData!$AO$28:$BA$28)</f>
        <v>2.6151224190554601E-2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516.79999999999995</v>
      </c>
      <c r="D5" s="6">
        <f t="shared" ref="D5:H5" ca="1" si="3">D41*(1-D7)*(1-D10)</f>
        <v>516.79999999999995</v>
      </c>
      <c r="E5" s="6">
        <f t="shared" ca="1" si="3"/>
        <v>646</v>
      </c>
      <c r="F5" s="6">
        <f t="shared" ca="1" si="3"/>
        <v>793.9</v>
      </c>
      <c r="G5" s="6">
        <f t="shared" ca="1" si="3"/>
        <v>936.69999999999993</v>
      </c>
      <c r="H5" s="6">
        <f t="shared" ca="1" si="3"/>
        <v>1328.55</v>
      </c>
      <c r="I5" s="7">
        <f t="shared" ref="I5:X5" ca="1" si="4">H5*(1+I4)</f>
        <v>1460.3</v>
      </c>
      <c r="J5" s="7">
        <f t="shared" ca="1" si="4"/>
        <v>1501.1000000000001</v>
      </c>
      <c r="K5" s="7">
        <f t="shared" ca="1" si="4"/>
        <v>1546.15</v>
      </c>
      <c r="L5" s="7">
        <f t="shared" ca="1" si="4"/>
        <v>1593.75</v>
      </c>
      <c r="M5" s="7">
        <f t="shared" ca="1" si="4"/>
        <v>1646.4499999999998</v>
      </c>
      <c r="N5" s="7">
        <f t="shared" ca="1" si="4"/>
        <v>1727.1999999999998</v>
      </c>
      <c r="O5" s="7">
        <f t="shared" ca="1" si="4"/>
        <v>1785.85</v>
      </c>
      <c r="P5" s="7">
        <f t="shared" ca="1" si="4"/>
        <v>1844.5</v>
      </c>
      <c r="Q5" s="7">
        <f t="shared" ca="1" si="4"/>
        <v>1902.3</v>
      </c>
      <c r="R5" s="7">
        <f t="shared" ca="1" si="4"/>
        <v>1961.8000000000002</v>
      </c>
      <c r="S5" s="7">
        <f t="shared" ca="1" si="4"/>
        <v>2013.1034716170302</v>
      </c>
      <c r="T5" s="7">
        <f t="shared" ca="1" si="4"/>
        <v>2065.7485918220709</v>
      </c>
      <c r="U5" s="7">
        <f t="shared" ca="1" si="4"/>
        <v>2119.7704463681325</v>
      </c>
      <c r="V5" s="7">
        <f t="shared" ca="1" si="4"/>
        <v>2175.2050385436178</v>
      </c>
      <c r="W5" s="7">
        <f t="shared" ca="1" si="4"/>
        <v>2232.0893131669959</v>
      </c>
      <c r="X5" s="7">
        <f t="shared" ca="1" si="4"/>
        <v>2290.461181208967</v>
      </c>
      <c r="Y5" s="7">
        <f ca="1">W5*(1+Y4)^(Y2-W2)</f>
        <v>2889.5169344351239</v>
      </c>
      <c r="Z5" s="7">
        <f t="shared" ref="Z5:AA5" ca="1" si="5">Y5*(1+Z4)^(Z2-Y2)</f>
        <v>3740.5797631551559</v>
      </c>
      <c r="AA5" s="7">
        <f t="shared" ca="1" si="5"/>
        <v>3740.5797631551559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80">
        <f>($H$7-$C$7)/($H$2-$C$2)+C7</f>
        <v>0</v>
      </c>
      <c r="E7" s="80">
        <f t="shared" ref="E7:G7" si="6">($H$7-$C$7)/($H$2-$C$2)+D7</f>
        <v>0</v>
      </c>
      <c r="F7" s="80">
        <f t="shared" si="6"/>
        <v>0</v>
      </c>
      <c r="G7" s="80">
        <f t="shared" si="6"/>
        <v>0</v>
      </c>
      <c r="H7" s="22">
        <v>0</v>
      </c>
      <c r="I7" s="28">
        <f t="shared" ref="I7:AA7" si="7">H7</f>
        <v>0</v>
      </c>
      <c r="J7" s="28">
        <f t="shared" si="7"/>
        <v>0</v>
      </c>
      <c r="K7" s="28">
        <f t="shared" si="7"/>
        <v>0</v>
      </c>
      <c r="L7" s="28">
        <f t="shared" si="7"/>
        <v>0</v>
      </c>
      <c r="M7" s="28">
        <f t="shared" si="7"/>
        <v>0</v>
      </c>
      <c r="N7" s="28">
        <f t="shared" si="7"/>
        <v>0</v>
      </c>
      <c r="O7" s="28">
        <f t="shared" si="7"/>
        <v>0</v>
      </c>
      <c r="P7" s="28">
        <f t="shared" si="7"/>
        <v>0</v>
      </c>
      <c r="Q7" s="28">
        <f t="shared" si="7"/>
        <v>0</v>
      </c>
      <c r="R7" s="28">
        <f t="shared" si="7"/>
        <v>0</v>
      </c>
      <c r="S7" s="28">
        <f t="shared" si="7"/>
        <v>0</v>
      </c>
      <c r="T7" s="28">
        <f t="shared" si="7"/>
        <v>0</v>
      </c>
      <c r="U7" s="28">
        <f t="shared" si="7"/>
        <v>0</v>
      </c>
      <c r="V7" s="28">
        <f t="shared" si="7"/>
        <v>0</v>
      </c>
      <c r="W7" s="28">
        <f t="shared" si="7"/>
        <v>0</v>
      </c>
      <c r="X7" s="28">
        <f t="shared" si="7"/>
        <v>0</v>
      </c>
      <c r="Y7" s="28">
        <f t="shared" si="7"/>
        <v>0</v>
      </c>
      <c r="Z7" s="28">
        <f t="shared" si="7"/>
        <v>0</v>
      </c>
      <c r="AA7" s="28">
        <f t="shared" si="7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8">C5/(1-C7)</f>
        <v>516.79999999999995</v>
      </c>
      <c r="D8" s="8">
        <f t="shared" ca="1" si="8"/>
        <v>516.79999999999995</v>
      </c>
      <c r="E8" s="8">
        <f t="shared" ca="1" si="8"/>
        <v>646</v>
      </c>
      <c r="F8" s="8">
        <f t="shared" ca="1" si="8"/>
        <v>793.9</v>
      </c>
      <c r="G8" s="8">
        <f t="shared" ca="1" si="8"/>
        <v>936.69999999999993</v>
      </c>
      <c r="H8" s="8">
        <f t="shared" ca="1" si="8"/>
        <v>1328.55</v>
      </c>
      <c r="I8" s="8">
        <f t="shared" ca="1" si="8"/>
        <v>1460.3</v>
      </c>
      <c r="J8" s="8">
        <f t="shared" ca="1" si="8"/>
        <v>1501.1000000000001</v>
      </c>
      <c r="K8" s="8">
        <f t="shared" ca="1" si="8"/>
        <v>1546.15</v>
      </c>
      <c r="L8" s="8">
        <f t="shared" ca="1" si="8"/>
        <v>1593.75</v>
      </c>
      <c r="M8" s="8">
        <f t="shared" ca="1" si="8"/>
        <v>1646.4499999999998</v>
      </c>
      <c r="N8" s="8">
        <f t="shared" ca="1" si="8"/>
        <v>1727.1999999999998</v>
      </c>
      <c r="O8" s="8">
        <f t="shared" ca="1" si="8"/>
        <v>1785.85</v>
      </c>
      <c r="P8" s="8">
        <f t="shared" ca="1" si="8"/>
        <v>1844.5</v>
      </c>
      <c r="Q8" s="8">
        <f t="shared" ca="1" si="8"/>
        <v>1902.3</v>
      </c>
      <c r="R8" s="8">
        <f t="shared" ca="1" si="8"/>
        <v>1961.8000000000002</v>
      </c>
      <c r="S8" s="8">
        <f t="shared" ca="1" si="8"/>
        <v>2013.1034716170302</v>
      </c>
      <c r="T8" s="8">
        <f t="shared" ca="1" si="8"/>
        <v>2065.7485918220709</v>
      </c>
      <c r="U8" s="8">
        <f t="shared" ca="1" si="8"/>
        <v>2119.7704463681325</v>
      </c>
      <c r="V8" s="8">
        <f t="shared" ca="1" si="8"/>
        <v>2175.2050385436178</v>
      </c>
      <c r="W8" s="8">
        <f t="shared" ca="1" si="8"/>
        <v>2232.0893131669959</v>
      </c>
      <c r="X8" s="8">
        <f t="shared" ca="1" si="8"/>
        <v>2290.461181208967</v>
      </c>
      <c r="Y8" s="8">
        <f t="shared" ca="1" si="8"/>
        <v>2889.5169344351239</v>
      </c>
      <c r="Z8" s="8">
        <f t="shared" ca="1" si="8"/>
        <v>3740.5797631551559</v>
      </c>
      <c r="AA8" s="8">
        <f t="shared" ca="1" si="8"/>
        <v>3740.5797631551559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9">D10</f>
        <v>0.15</v>
      </c>
      <c r="F10" s="27">
        <f t="shared" si="9"/>
        <v>0.15</v>
      </c>
      <c r="G10" s="27">
        <f t="shared" si="9"/>
        <v>0.15</v>
      </c>
      <c r="H10" s="27">
        <f t="shared" si="9"/>
        <v>0.15</v>
      </c>
      <c r="I10" s="27">
        <f t="shared" si="9"/>
        <v>0.15</v>
      </c>
      <c r="J10" s="27">
        <f t="shared" si="9"/>
        <v>0.15</v>
      </c>
      <c r="K10" s="27">
        <f t="shared" si="9"/>
        <v>0.15</v>
      </c>
      <c r="L10" s="27">
        <f t="shared" si="9"/>
        <v>0.15</v>
      </c>
      <c r="M10" s="27">
        <f t="shared" si="9"/>
        <v>0.15</v>
      </c>
      <c r="N10" s="27">
        <f t="shared" si="9"/>
        <v>0.15</v>
      </c>
      <c r="O10" s="27">
        <f t="shared" si="9"/>
        <v>0.15</v>
      </c>
      <c r="P10" s="27">
        <f t="shared" si="9"/>
        <v>0.15</v>
      </c>
      <c r="Q10" s="27">
        <f t="shared" si="9"/>
        <v>0.15</v>
      </c>
      <c r="R10" s="27">
        <f t="shared" si="9"/>
        <v>0.15</v>
      </c>
      <c r="S10" s="27">
        <f t="shared" si="9"/>
        <v>0.15</v>
      </c>
      <c r="T10" s="27">
        <f t="shared" si="9"/>
        <v>0.15</v>
      </c>
      <c r="U10" s="27">
        <f t="shared" si="9"/>
        <v>0.15</v>
      </c>
      <c r="V10" s="27">
        <f t="shared" si="9"/>
        <v>0.15</v>
      </c>
      <c r="W10" s="27">
        <f t="shared" si="9"/>
        <v>0.15</v>
      </c>
      <c r="X10" s="27">
        <f t="shared" si="9"/>
        <v>0.15</v>
      </c>
      <c r="Y10" s="27">
        <f t="shared" si="9"/>
        <v>0.15</v>
      </c>
      <c r="Z10" s="27">
        <f t="shared" si="9"/>
        <v>0.15</v>
      </c>
      <c r="AA10" s="27">
        <f t="shared" si="9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10">C8/(1-C10)</f>
        <v>608</v>
      </c>
      <c r="D11" s="8">
        <f t="shared" ca="1" si="10"/>
        <v>608</v>
      </c>
      <c r="E11" s="8">
        <f t="shared" ca="1" si="10"/>
        <v>760</v>
      </c>
      <c r="F11" s="8">
        <f t="shared" ca="1" si="10"/>
        <v>934</v>
      </c>
      <c r="G11" s="8">
        <f t="shared" ca="1" si="10"/>
        <v>1102</v>
      </c>
      <c r="H11" s="8">
        <f t="shared" ca="1" si="10"/>
        <v>1563</v>
      </c>
      <c r="I11" s="8">
        <f t="shared" ca="1" si="10"/>
        <v>1718</v>
      </c>
      <c r="J11" s="8">
        <f t="shared" ca="1" si="10"/>
        <v>1766.0000000000002</v>
      </c>
      <c r="K11" s="8">
        <f t="shared" ca="1" si="10"/>
        <v>1819.0000000000002</v>
      </c>
      <c r="L11" s="8">
        <f t="shared" ca="1" si="10"/>
        <v>1875</v>
      </c>
      <c r="M11" s="8">
        <f t="shared" ca="1" si="10"/>
        <v>1936.9999999999998</v>
      </c>
      <c r="N11" s="8">
        <f t="shared" ca="1" si="10"/>
        <v>2031.9999999999998</v>
      </c>
      <c r="O11" s="8">
        <f t="shared" ca="1" si="10"/>
        <v>2101</v>
      </c>
      <c r="P11" s="8">
        <f t="shared" ca="1" si="10"/>
        <v>2170</v>
      </c>
      <c r="Q11" s="8">
        <f t="shared" ca="1" si="10"/>
        <v>2238</v>
      </c>
      <c r="R11" s="8">
        <f t="shared" ca="1" si="10"/>
        <v>2308.0000000000005</v>
      </c>
      <c r="S11" s="8">
        <f t="shared" ca="1" si="10"/>
        <v>2368.3570254318001</v>
      </c>
      <c r="T11" s="8">
        <f t="shared" ca="1" si="10"/>
        <v>2430.2924609671422</v>
      </c>
      <c r="U11" s="8">
        <f t="shared" ca="1" si="10"/>
        <v>2493.8475839625089</v>
      </c>
      <c r="V11" s="8">
        <f t="shared" ca="1" si="10"/>
        <v>2559.0647512277856</v>
      </c>
      <c r="W11" s="8">
        <f t="shared" ca="1" si="10"/>
        <v>2625.9874272552893</v>
      </c>
      <c r="X11" s="8">
        <f t="shared" ca="1" si="10"/>
        <v>2694.66021318702</v>
      </c>
      <c r="Y11" s="8">
        <f t="shared" ca="1" si="10"/>
        <v>3399.4316875707341</v>
      </c>
      <c r="Z11" s="8">
        <f t="shared" ca="1" si="10"/>
        <v>4400.6820743001836</v>
      </c>
      <c r="AA11" s="8">
        <f t="shared" ca="1" si="10"/>
        <v>4400.6820743001836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11">D13</f>
        <v>0</v>
      </c>
      <c r="F13" s="36">
        <f t="shared" si="11"/>
        <v>0</v>
      </c>
      <c r="G13" s="36">
        <f t="shared" si="11"/>
        <v>0</v>
      </c>
      <c r="H13" s="36">
        <f t="shared" si="11"/>
        <v>0</v>
      </c>
      <c r="I13" s="36">
        <f t="shared" si="11"/>
        <v>0</v>
      </c>
      <c r="J13" s="36">
        <f t="shared" si="11"/>
        <v>0</v>
      </c>
      <c r="K13" s="36">
        <f t="shared" si="11"/>
        <v>0</v>
      </c>
      <c r="L13" s="36">
        <f t="shared" si="11"/>
        <v>0</v>
      </c>
      <c r="M13" s="36">
        <f t="shared" si="11"/>
        <v>0</v>
      </c>
      <c r="N13" s="36">
        <f t="shared" si="11"/>
        <v>0</v>
      </c>
      <c r="O13" s="36">
        <f t="shared" si="11"/>
        <v>0</v>
      </c>
      <c r="P13" s="36">
        <f t="shared" si="11"/>
        <v>0</v>
      </c>
      <c r="Q13" s="36">
        <f t="shared" si="11"/>
        <v>0</v>
      </c>
      <c r="R13" s="36">
        <f t="shared" si="11"/>
        <v>0</v>
      </c>
      <c r="S13" s="36">
        <f t="shared" si="11"/>
        <v>0</v>
      </c>
      <c r="T13" s="36">
        <f t="shared" si="11"/>
        <v>0</v>
      </c>
      <c r="U13" s="36">
        <f t="shared" ref="U13:AA18" si="12">T13</f>
        <v>0</v>
      </c>
      <c r="V13" s="36">
        <f t="shared" si="12"/>
        <v>0</v>
      </c>
      <c r="W13" s="36">
        <f t="shared" si="12"/>
        <v>0</v>
      </c>
      <c r="X13" s="36">
        <f t="shared" si="12"/>
        <v>0</v>
      </c>
      <c r="Y13" s="36">
        <f t="shared" si="12"/>
        <v>0</v>
      </c>
      <c r="Z13" s="36">
        <f t="shared" si="12"/>
        <v>0</v>
      </c>
      <c r="AA13" s="36">
        <f t="shared" si="12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11"/>
        <v>0</v>
      </c>
      <c r="F14" s="36">
        <f t="shared" si="11"/>
        <v>0</v>
      </c>
      <c r="G14" s="36">
        <f t="shared" si="11"/>
        <v>0</v>
      </c>
      <c r="H14" s="36">
        <f t="shared" si="11"/>
        <v>0</v>
      </c>
      <c r="I14" s="36">
        <f t="shared" si="11"/>
        <v>0</v>
      </c>
      <c r="J14" s="36">
        <f t="shared" si="11"/>
        <v>0</v>
      </c>
      <c r="K14" s="36">
        <f t="shared" si="11"/>
        <v>0</v>
      </c>
      <c r="L14" s="36">
        <f t="shared" si="11"/>
        <v>0</v>
      </c>
      <c r="M14" s="36">
        <f t="shared" si="11"/>
        <v>0</v>
      </c>
      <c r="N14" s="36">
        <f t="shared" si="11"/>
        <v>0</v>
      </c>
      <c r="O14" s="36">
        <f t="shared" si="11"/>
        <v>0</v>
      </c>
      <c r="P14" s="36">
        <f t="shared" si="11"/>
        <v>0</v>
      </c>
      <c r="Q14" s="36">
        <f t="shared" si="11"/>
        <v>0</v>
      </c>
      <c r="R14" s="36">
        <f t="shared" si="11"/>
        <v>0</v>
      </c>
      <c r="S14" s="36">
        <f t="shared" si="11"/>
        <v>0</v>
      </c>
      <c r="T14" s="36">
        <f t="shared" si="11"/>
        <v>0</v>
      </c>
      <c r="U14" s="36">
        <f t="shared" si="12"/>
        <v>0</v>
      </c>
      <c r="V14" s="36">
        <f t="shared" si="12"/>
        <v>0</v>
      </c>
      <c r="W14" s="36">
        <f t="shared" si="12"/>
        <v>0</v>
      </c>
      <c r="X14" s="36">
        <f t="shared" si="12"/>
        <v>0</v>
      </c>
      <c r="Y14" s="36">
        <f t="shared" si="12"/>
        <v>0</v>
      </c>
      <c r="Z14" s="36">
        <f t="shared" si="12"/>
        <v>0</v>
      </c>
      <c r="AA14" s="36">
        <f t="shared" si="12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11"/>
        <v>0</v>
      </c>
      <c r="F15" s="36">
        <f t="shared" si="11"/>
        <v>0</v>
      </c>
      <c r="G15" s="36">
        <f t="shared" si="11"/>
        <v>0</v>
      </c>
      <c r="H15" s="36">
        <f t="shared" si="11"/>
        <v>0</v>
      </c>
      <c r="I15" s="36">
        <f t="shared" si="11"/>
        <v>0</v>
      </c>
      <c r="J15" s="36">
        <f t="shared" si="11"/>
        <v>0</v>
      </c>
      <c r="K15" s="36">
        <f t="shared" si="11"/>
        <v>0</v>
      </c>
      <c r="L15" s="36">
        <f t="shared" si="11"/>
        <v>0</v>
      </c>
      <c r="M15" s="36">
        <f t="shared" si="11"/>
        <v>0</v>
      </c>
      <c r="N15" s="36">
        <f t="shared" si="11"/>
        <v>0</v>
      </c>
      <c r="O15" s="36">
        <f t="shared" si="11"/>
        <v>0</v>
      </c>
      <c r="P15" s="36">
        <f t="shared" si="11"/>
        <v>0</v>
      </c>
      <c r="Q15" s="36">
        <f t="shared" si="11"/>
        <v>0</v>
      </c>
      <c r="R15" s="36">
        <f t="shared" si="11"/>
        <v>0</v>
      </c>
      <c r="S15" s="36">
        <f t="shared" si="11"/>
        <v>0</v>
      </c>
      <c r="T15" s="36">
        <f t="shared" si="11"/>
        <v>0</v>
      </c>
      <c r="U15" s="36">
        <f t="shared" si="12"/>
        <v>0</v>
      </c>
      <c r="V15" s="36">
        <f t="shared" si="12"/>
        <v>0</v>
      </c>
      <c r="W15" s="36">
        <f t="shared" si="12"/>
        <v>0</v>
      </c>
      <c r="X15" s="36">
        <f t="shared" si="12"/>
        <v>0</v>
      </c>
      <c r="Y15" s="36">
        <f t="shared" si="12"/>
        <v>0</v>
      </c>
      <c r="Z15" s="36">
        <f t="shared" si="12"/>
        <v>0</v>
      </c>
      <c r="AA15" s="36">
        <f t="shared" si="12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3">C16</f>
        <v>0</v>
      </c>
      <c r="E16" s="36">
        <f t="shared" si="11"/>
        <v>0</v>
      </c>
      <c r="F16" s="36">
        <f t="shared" si="11"/>
        <v>0</v>
      </c>
      <c r="G16" s="36">
        <f t="shared" si="11"/>
        <v>0</v>
      </c>
      <c r="H16" s="36">
        <f t="shared" si="11"/>
        <v>0</v>
      </c>
      <c r="I16" s="36">
        <f t="shared" si="11"/>
        <v>0</v>
      </c>
      <c r="J16" s="36">
        <f t="shared" si="11"/>
        <v>0</v>
      </c>
      <c r="K16" s="36">
        <f t="shared" si="11"/>
        <v>0</v>
      </c>
      <c r="L16" s="36">
        <f t="shared" si="11"/>
        <v>0</v>
      </c>
      <c r="M16" s="36">
        <f t="shared" si="11"/>
        <v>0</v>
      </c>
      <c r="N16" s="36">
        <f t="shared" si="11"/>
        <v>0</v>
      </c>
      <c r="O16" s="36">
        <f t="shared" si="11"/>
        <v>0</v>
      </c>
      <c r="P16" s="36">
        <f t="shared" si="11"/>
        <v>0</v>
      </c>
      <c r="Q16" s="36">
        <f t="shared" si="11"/>
        <v>0</v>
      </c>
      <c r="R16" s="36">
        <f t="shared" si="11"/>
        <v>0</v>
      </c>
      <c r="S16" s="36">
        <f t="shared" si="11"/>
        <v>0</v>
      </c>
      <c r="T16" s="36">
        <f t="shared" si="11"/>
        <v>0</v>
      </c>
      <c r="U16" s="36">
        <f t="shared" si="12"/>
        <v>0</v>
      </c>
      <c r="V16" s="36">
        <f t="shared" si="12"/>
        <v>0</v>
      </c>
      <c r="W16" s="36">
        <f t="shared" si="12"/>
        <v>0</v>
      </c>
      <c r="X16" s="36">
        <f t="shared" si="12"/>
        <v>0</v>
      </c>
      <c r="Y16" s="36">
        <f t="shared" si="12"/>
        <v>0</v>
      </c>
      <c r="Z16" s="36">
        <f t="shared" si="12"/>
        <v>0</v>
      </c>
      <c r="AA16" s="36">
        <f t="shared" si="12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3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0</v>
      </c>
      <c r="K17" s="36">
        <f t="shared" si="11"/>
        <v>0</v>
      </c>
      <c r="L17" s="36">
        <f t="shared" si="11"/>
        <v>0</v>
      </c>
      <c r="M17" s="36">
        <f t="shared" si="11"/>
        <v>0</v>
      </c>
      <c r="N17" s="36">
        <f t="shared" si="11"/>
        <v>0</v>
      </c>
      <c r="O17" s="36">
        <f t="shared" si="11"/>
        <v>0</v>
      </c>
      <c r="P17" s="36">
        <f t="shared" si="11"/>
        <v>0</v>
      </c>
      <c r="Q17" s="36">
        <f t="shared" si="11"/>
        <v>0</v>
      </c>
      <c r="R17" s="36">
        <f t="shared" si="11"/>
        <v>0</v>
      </c>
      <c r="S17" s="36">
        <f t="shared" si="11"/>
        <v>0</v>
      </c>
      <c r="T17" s="36">
        <f t="shared" si="11"/>
        <v>0</v>
      </c>
      <c r="U17" s="36">
        <f t="shared" si="12"/>
        <v>0</v>
      </c>
      <c r="V17" s="36">
        <f t="shared" si="12"/>
        <v>0</v>
      </c>
      <c r="W17" s="36">
        <f t="shared" si="12"/>
        <v>0</v>
      </c>
      <c r="X17" s="36">
        <f t="shared" si="12"/>
        <v>0</v>
      </c>
      <c r="Y17" s="36">
        <f t="shared" si="12"/>
        <v>0</v>
      </c>
      <c r="Z17" s="36">
        <f t="shared" si="12"/>
        <v>0</v>
      </c>
      <c r="AA17" s="36">
        <f t="shared" si="12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3"/>
        <v>0</v>
      </c>
      <c r="E18" s="36">
        <f t="shared" si="11"/>
        <v>0</v>
      </c>
      <c r="F18" s="36">
        <f t="shared" si="11"/>
        <v>0</v>
      </c>
      <c r="G18" s="36">
        <f t="shared" si="11"/>
        <v>0</v>
      </c>
      <c r="H18" s="36">
        <f t="shared" si="11"/>
        <v>0</v>
      </c>
      <c r="I18" s="36">
        <f t="shared" si="11"/>
        <v>0</v>
      </c>
      <c r="J18" s="36">
        <f t="shared" si="11"/>
        <v>0</v>
      </c>
      <c r="K18" s="36">
        <f t="shared" si="11"/>
        <v>0</v>
      </c>
      <c r="L18" s="36">
        <f t="shared" si="11"/>
        <v>0</v>
      </c>
      <c r="M18" s="36">
        <f t="shared" si="11"/>
        <v>0</v>
      </c>
      <c r="N18" s="36">
        <f t="shared" si="11"/>
        <v>0</v>
      </c>
      <c r="O18" s="36">
        <f t="shared" si="11"/>
        <v>0</v>
      </c>
      <c r="P18" s="36">
        <f t="shared" si="11"/>
        <v>0</v>
      </c>
      <c r="Q18" s="36">
        <f t="shared" si="11"/>
        <v>0</v>
      </c>
      <c r="R18" s="36">
        <f t="shared" si="11"/>
        <v>0</v>
      </c>
      <c r="S18" s="36">
        <f t="shared" si="11"/>
        <v>0</v>
      </c>
      <c r="T18" s="36">
        <f t="shared" si="11"/>
        <v>0</v>
      </c>
      <c r="U18" s="36">
        <f t="shared" si="12"/>
        <v>0</v>
      </c>
      <c r="V18" s="36">
        <f t="shared" si="12"/>
        <v>0</v>
      </c>
      <c r="W18" s="36">
        <f t="shared" si="12"/>
        <v>0</v>
      </c>
      <c r="X18" s="36">
        <f t="shared" si="12"/>
        <v>0</v>
      </c>
      <c r="Y18" s="36">
        <f t="shared" si="12"/>
        <v>0</v>
      </c>
      <c r="Z18" s="36">
        <f t="shared" si="12"/>
        <v>0</v>
      </c>
      <c r="AA18" s="36">
        <f t="shared" si="12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4">SUM(D13:D17)</f>
        <v>0</v>
      </c>
      <c r="E19" s="37">
        <f t="shared" si="14"/>
        <v>0</v>
      </c>
      <c r="F19" s="37">
        <f t="shared" si="14"/>
        <v>0</v>
      </c>
      <c r="G19" s="37">
        <f t="shared" si="14"/>
        <v>0</v>
      </c>
      <c r="H19" s="37">
        <f t="shared" si="14"/>
        <v>0</v>
      </c>
      <c r="I19" s="37">
        <f t="shared" si="14"/>
        <v>0</v>
      </c>
      <c r="J19" s="37">
        <f t="shared" si="14"/>
        <v>0</v>
      </c>
      <c r="K19" s="37">
        <f t="shared" si="14"/>
        <v>0</v>
      </c>
      <c r="L19" s="37">
        <f t="shared" si="14"/>
        <v>0</v>
      </c>
      <c r="M19" s="37">
        <f t="shared" si="14"/>
        <v>0</v>
      </c>
      <c r="N19" s="37">
        <f t="shared" si="14"/>
        <v>0</v>
      </c>
      <c r="O19" s="37">
        <f t="shared" si="14"/>
        <v>0</v>
      </c>
      <c r="P19" s="37">
        <f t="shared" si="14"/>
        <v>0</v>
      </c>
      <c r="Q19" s="37">
        <f t="shared" si="14"/>
        <v>0</v>
      </c>
      <c r="R19" s="37">
        <f t="shared" si="14"/>
        <v>0</v>
      </c>
      <c r="S19" s="37">
        <f t="shared" si="14"/>
        <v>0</v>
      </c>
      <c r="T19" s="37">
        <f t="shared" si="14"/>
        <v>0</v>
      </c>
      <c r="U19" s="37">
        <f t="shared" si="14"/>
        <v>0</v>
      </c>
      <c r="V19" s="37">
        <f t="shared" si="14"/>
        <v>0</v>
      </c>
      <c r="W19" s="37">
        <f t="shared" si="14"/>
        <v>0</v>
      </c>
      <c r="X19" s="37">
        <f t="shared" si="14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5">C19+C11</f>
        <v>608</v>
      </c>
      <c r="D20" s="39">
        <f t="shared" ca="1" si="15"/>
        <v>608</v>
      </c>
      <c r="E20" s="39">
        <f t="shared" ca="1" si="15"/>
        <v>760</v>
      </c>
      <c r="F20" s="39">
        <f t="shared" ca="1" si="15"/>
        <v>934</v>
      </c>
      <c r="G20" s="39">
        <f t="shared" ca="1" si="15"/>
        <v>1102</v>
      </c>
      <c r="H20" s="39">
        <f t="shared" ca="1" si="15"/>
        <v>1563</v>
      </c>
      <c r="I20" s="39">
        <f t="shared" ca="1" si="15"/>
        <v>1718</v>
      </c>
      <c r="J20" s="39">
        <f t="shared" ca="1" si="15"/>
        <v>1766.0000000000002</v>
      </c>
      <c r="K20" s="39">
        <f t="shared" ca="1" si="15"/>
        <v>1819.0000000000002</v>
      </c>
      <c r="L20" s="39">
        <f t="shared" ca="1" si="15"/>
        <v>1875</v>
      </c>
      <c r="M20" s="39">
        <f t="shared" ca="1" si="15"/>
        <v>1936.9999999999998</v>
      </c>
      <c r="N20" s="39">
        <f t="shared" ca="1" si="15"/>
        <v>2031.9999999999998</v>
      </c>
      <c r="O20" s="39">
        <f t="shared" ca="1" si="15"/>
        <v>2101</v>
      </c>
      <c r="P20" s="39">
        <f t="shared" ca="1" si="15"/>
        <v>2170</v>
      </c>
      <c r="Q20" s="39">
        <f t="shared" ca="1" si="15"/>
        <v>2238</v>
      </c>
      <c r="R20" s="39">
        <f t="shared" ca="1" si="15"/>
        <v>2308.0000000000005</v>
      </c>
      <c r="S20" s="39">
        <f t="shared" ca="1" si="15"/>
        <v>2368.3570254318001</v>
      </c>
      <c r="T20" s="39">
        <f t="shared" ca="1" si="15"/>
        <v>2430.2924609671422</v>
      </c>
      <c r="U20" s="39">
        <f t="shared" ca="1" si="15"/>
        <v>2493.8475839625089</v>
      </c>
      <c r="V20" s="39">
        <f t="shared" ca="1" si="15"/>
        <v>2559.0647512277856</v>
      </c>
      <c r="W20" s="39">
        <f t="shared" ca="1" si="15"/>
        <v>2625.9874272552893</v>
      </c>
      <c r="X20" s="39">
        <f t="shared" ca="1" si="15"/>
        <v>2694.66021318702</v>
      </c>
      <c r="Y20" s="39">
        <f t="shared" ca="1" si="15"/>
        <v>3399.4316875707341</v>
      </c>
      <c r="Z20" s="39">
        <f t="shared" ca="1" si="15"/>
        <v>4400.6820743001836</v>
      </c>
      <c r="AA20" s="39">
        <f t="shared" ca="1" si="15"/>
        <v>4400.6820743001836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139</v>
      </c>
      <c r="D33" s="23">
        <f ca="1">D20/(D34*8.76)</f>
        <v>139</v>
      </c>
      <c r="E33" s="23">
        <f ca="1">E20/(E34*8.76)</f>
        <v>164</v>
      </c>
      <c r="F33" s="23">
        <f t="shared" ref="F33:X33" ca="1" si="16">F20/(F34*8.76)</f>
        <v>190</v>
      </c>
      <c r="G33" s="23">
        <f t="shared" ca="1" si="16"/>
        <v>221.00000000000003</v>
      </c>
      <c r="H33" s="23">
        <f t="shared" ca="1" si="16"/>
        <v>268</v>
      </c>
      <c r="I33" s="23">
        <f t="shared" ca="1" si="16"/>
        <v>282</v>
      </c>
      <c r="J33" s="23">
        <f t="shared" ca="1" si="16"/>
        <v>290.00000000000006</v>
      </c>
      <c r="K33" s="23">
        <f t="shared" ca="1" si="16"/>
        <v>299.00000000000006</v>
      </c>
      <c r="L33" s="23">
        <f t="shared" ca="1" si="16"/>
        <v>308</v>
      </c>
      <c r="M33" s="23">
        <f t="shared" ca="1" si="16"/>
        <v>316.99999999999994</v>
      </c>
      <c r="N33" s="23">
        <f t="shared" ca="1" si="16"/>
        <v>332.99999999999994</v>
      </c>
      <c r="O33" s="23">
        <f t="shared" ca="1" si="16"/>
        <v>344</v>
      </c>
      <c r="P33" s="23">
        <f t="shared" ca="1" si="16"/>
        <v>356</v>
      </c>
      <c r="Q33" s="23">
        <f t="shared" ca="1" si="16"/>
        <v>367</v>
      </c>
      <c r="R33" s="23">
        <f t="shared" ca="1" si="16"/>
        <v>378.00000000000006</v>
      </c>
      <c r="S33" s="23">
        <f t="shared" ca="1" si="16"/>
        <v>387.88516274402963</v>
      </c>
      <c r="T33" s="23">
        <f t="shared" ca="1" si="16"/>
        <v>398.02883459513851</v>
      </c>
      <c r="U33" s="23">
        <f t="shared" ca="1" si="16"/>
        <v>408.4377758829412</v>
      </c>
      <c r="V33" s="23">
        <f t="shared" ca="1" si="16"/>
        <v>419.11892372794756</v>
      </c>
      <c r="W33" s="23">
        <f t="shared" ca="1" si="16"/>
        <v>430.07939666486106</v>
      </c>
      <c r="X33" s="23">
        <f t="shared" ca="1" si="16"/>
        <v>441.3264993867823</v>
      </c>
    </row>
    <row r="34" spans="1:24" ht="15" x14ac:dyDescent="0.25">
      <c r="A34" s="1" t="s">
        <v>7</v>
      </c>
      <c r="C34" s="77">
        <f ca="1">C41/(C44*8.76)</f>
        <v>0.49932656614434484</v>
      </c>
      <c r="D34" s="77">
        <f ca="1">D41/(D44*8.76)</f>
        <v>0.49932656614434484</v>
      </c>
      <c r="E34" s="77">
        <f t="shared" ref="E34:R34" ca="1" si="17">E41/(E44*8.76)</f>
        <v>0.52901213943646286</v>
      </c>
      <c r="F34" s="77">
        <f t="shared" ca="1" si="17"/>
        <v>0.56116318192742132</v>
      </c>
      <c r="G34" s="77">
        <f t="shared" ca="1" si="17"/>
        <v>0.56922663691398578</v>
      </c>
      <c r="H34" s="77">
        <f t="shared" ca="1" si="17"/>
        <v>0.66576364751584549</v>
      </c>
      <c r="I34" s="77">
        <f t="shared" ca="1" si="17"/>
        <v>0.69545645908222409</v>
      </c>
      <c r="J34" s="77">
        <f t="shared" ca="1" si="17"/>
        <v>0.69516611557235075</v>
      </c>
      <c r="K34" s="77">
        <f t="shared" ca="1" si="17"/>
        <v>0.69447626028924425</v>
      </c>
      <c r="L34" s="77">
        <f t="shared" ca="1" si="17"/>
        <v>0.69493862302081477</v>
      </c>
      <c r="M34" s="77">
        <f t="shared" ca="1" si="17"/>
        <v>0.69753539893118999</v>
      </c>
      <c r="N34" s="77">
        <f t="shared" ca="1" si="17"/>
        <v>0.69658699795686096</v>
      </c>
      <c r="O34" s="77">
        <f t="shared" ca="1" si="17"/>
        <v>0.69720983328023789</v>
      </c>
      <c r="P34" s="77">
        <f t="shared" ca="1" si="17"/>
        <v>0.69583397465496899</v>
      </c>
      <c r="Q34" s="77">
        <f t="shared" ca="1" si="17"/>
        <v>0.69612929715202865</v>
      </c>
      <c r="R34" s="77">
        <f t="shared" ca="1" si="17"/>
        <v>0.69701142760503498</v>
      </c>
      <c r="S34" s="14">
        <f t="shared" ref="S34:X34" ca="1" si="18">R34</f>
        <v>0.69701142760503498</v>
      </c>
      <c r="T34" s="14">
        <f t="shared" ca="1" si="18"/>
        <v>0.69701142760503498</v>
      </c>
      <c r="U34" s="14">
        <f t="shared" ca="1" si="18"/>
        <v>0.69701142760503498</v>
      </c>
      <c r="V34" s="14">
        <f t="shared" ca="1" si="18"/>
        <v>0.69701142760503498</v>
      </c>
      <c r="W34" s="14">
        <f t="shared" ca="1" si="18"/>
        <v>0.69701142760503498</v>
      </c>
      <c r="X34" s="14">
        <f t="shared" ca="1" si="18"/>
        <v>0.69701142760503498</v>
      </c>
    </row>
    <row r="35" spans="1:24" ht="15" x14ac:dyDescent="0.25">
      <c r="A35" s="1" t="s">
        <v>8</v>
      </c>
      <c r="C35" s="15"/>
      <c r="D35" s="15">
        <f t="shared" ref="D35:X35" ca="1" si="19">D33/C33-1</f>
        <v>0</v>
      </c>
      <c r="E35" s="15">
        <f t="shared" ca="1" si="19"/>
        <v>0.17985611510791366</v>
      </c>
      <c r="F35" s="15">
        <f t="shared" ca="1" si="19"/>
        <v>0.15853658536585358</v>
      </c>
      <c r="G35" s="15">
        <f t="shared" ca="1" si="19"/>
        <v>0.16315789473684217</v>
      </c>
      <c r="H35" s="15">
        <f t="shared" ca="1" si="19"/>
        <v>0.21266968325791846</v>
      </c>
      <c r="I35" s="15">
        <f t="shared" ca="1" si="19"/>
        <v>5.2238805970149294E-2</v>
      </c>
      <c r="J35" s="15">
        <f t="shared" ca="1" si="19"/>
        <v>2.8368794326241398E-2</v>
      </c>
      <c r="K35" s="15">
        <f t="shared" ca="1" si="19"/>
        <v>3.1034482758620641E-2</v>
      </c>
      <c r="L35" s="15">
        <f t="shared" ca="1" si="19"/>
        <v>3.0100334448160293E-2</v>
      </c>
      <c r="M35" s="15">
        <f t="shared" ca="1" si="19"/>
        <v>2.9220779220779036E-2</v>
      </c>
      <c r="N35" s="15">
        <f t="shared" ca="1" si="19"/>
        <v>5.0473186119873725E-2</v>
      </c>
      <c r="O35" s="15">
        <f t="shared" ca="1" si="19"/>
        <v>3.3033033033033288E-2</v>
      </c>
      <c r="P35" s="15">
        <f t="shared" ca="1" si="19"/>
        <v>3.488372093023262E-2</v>
      </c>
      <c r="Q35" s="15">
        <f t="shared" ca="1" si="19"/>
        <v>3.0898876404494402E-2</v>
      </c>
      <c r="R35" s="15">
        <f t="shared" ca="1" si="19"/>
        <v>2.997275204359684E-2</v>
      </c>
      <c r="S35" s="15">
        <f t="shared" ca="1" si="19"/>
        <v>2.6151224190554379E-2</v>
      </c>
      <c r="T35" s="15">
        <f t="shared" ca="1" si="19"/>
        <v>2.6151224190554601E-2</v>
      </c>
      <c r="U35" s="15">
        <f t="shared" ca="1" si="19"/>
        <v>2.6151224190554823E-2</v>
      </c>
      <c r="V35" s="15">
        <f t="shared" ca="1" si="19"/>
        <v>2.6151224190554823E-2</v>
      </c>
      <c r="W35" s="15">
        <f t="shared" ca="1" si="19"/>
        <v>2.6151224190554601E-2</v>
      </c>
      <c r="X35" s="15">
        <f t="shared" ca="1" si="19"/>
        <v>2.6151224190554601E-2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139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55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608</v>
      </c>
      <c r="D41" s="74">
        <f ca="1">VALUE(OFFSET(SourceData!$A$4,$B$40+D$2-2011,SourceData!$D$1+General!$B$1))</f>
        <v>608</v>
      </c>
      <c r="E41" s="74">
        <f ca="1">VALUE(OFFSET(SourceData!$A$4,$B$40+E$2-2011,SourceData!$D$1+General!$B$1))</f>
        <v>760</v>
      </c>
      <c r="F41" s="74">
        <f ca="1">VALUE(OFFSET(SourceData!$A$4,$B$40+F$2-2011,SourceData!$D$1+General!$B$1))</f>
        <v>934</v>
      </c>
      <c r="G41" s="74">
        <f ca="1">VALUE(OFFSET(SourceData!$A$4,$B$40+G$2-2011,SourceData!$D$1+General!$B$1))</f>
        <v>1102</v>
      </c>
      <c r="H41" s="74">
        <f ca="1">VALUE(OFFSET(SourceData!$A$4,$B$40+H$2-2011,SourceData!$D$1+General!$B$1))</f>
        <v>1563</v>
      </c>
      <c r="I41" s="74">
        <f ca="1">VALUE(OFFSET(SourceData!$A$4,$B$40+I$2-2011,SourceData!$D$1+General!$B$1))</f>
        <v>1718</v>
      </c>
      <c r="J41" s="74">
        <f ca="1">VALUE(OFFSET(SourceData!$A$4,$B$40+J$2-2011,SourceData!$D$1+General!$B$1))</f>
        <v>1766</v>
      </c>
      <c r="K41" s="74">
        <f ca="1">VALUE(OFFSET(SourceData!$A$4,$B$40+K$2-2011,SourceData!$D$1+General!$B$1))</f>
        <v>1819</v>
      </c>
      <c r="L41" s="74">
        <f ca="1">VALUE(OFFSET(SourceData!$A$4,$B$40+L$2-2011,SourceData!$D$1+General!$B$1))</f>
        <v>1875</v>
      </c>
      <c r="M41" s="74">
        <f ca="1">VALUE(OFFSET(SourceData!$A$4,$B$40+M$2-2011,SourceData!$D$1+General!$B$1))</f>
        <v>1937</v>
      </c>
      <c r="N41" s="74">
        <f ca="1">VALUE(OFFSET(SourceData!$A$4,$B$40+N$2-2011,SourceData!$D$1+General!$B$1))</f>
        <v>2032</v>
      </c>
      <c r="O41" s="74">
        <f ca="1">VALUE(OFFSET(SourceData!$A$4,$B$40+O$2-2011,SourceData!$D$1+General!$B$1))</f>
        <v>2101</v>
      </c>
      <c r="P41" s="74">
        <f ca="1">VALUE(OFFSET(SourceData!$A$4,$B$40+P$2-2011,SourceData!$D$1+General!$B$1))</f>
        <v>2170</v>
      </c>
      <c r="Q41" s="74">
        <f ca="1">VALUE(OFFSET(SourceData!$A$4,$B$40+Q$2-2011,SourceData!$D$1+General!$B$1))</f>
        <v>2238</v>
      </c>
      <c r="R41" s="74">
        <f ca="1">VALUE(OFFSET(SourceData!$A$4,$B$40+R$2-2011,SourceData!$D$1+General!$B$1))</f>
        <v>2308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</v>
      </c>
      <c r="E42" s="21">
        <f t="shared" ref="E42:R42" ca="1" si="20">E41/D41-1</f>
        <v>0.25</v>
      </c>
      <c r="F42" s="21">
        <f t="shared" ca="1" si="20"/>
        <v>0.22894736842105257</v>
      </c>
      <c r="G42" s="21">
        <f t="shared" ca="1" si="20"/>
        <v>0.17987152034261245</v>
      </c>
      <c r="H42" s="21">
        <f t="shared" ca="1" si="20"/>
        <v>0.41833030852994546</v>
      </c>
      <c r="I42" s="21">
        <f t="shared" ca="1" si="20"/>
        <v>9.9168266154830542E-2</v>
      </c>
      <c r="J42" s="21">
        <f t="shared" ca="1" si="20"/>
        <v>2.7939464493597299E-2</v>
      </c>
      <c r="K42" s="21">
        <f t="shared" ca="1" si="20"/>
        <v>3.0011325028312497E-2</v>
      </c>
      <c r="L42" s="21">
        <f t="shared" ca="1" si="20"/>
        <v>3.0786146234194511E-2</v>
      </c>
      <c r="M42" s="21">
        <f t="shared" ca="1" si="20"/>
        <v>3.3066666666666578E-2</v>
      </c>
      <c r="N42" s="21">
        <f t="shared" ca="1" si="20"/>
        <v>4.9044914816726903E-2</v>
      </c>
      <c r="O42" s="21">
        <f t="shared" ca="1" si="20"/>
        <v>3.3956692913385877E-2</v>
      </c>
      <c r="P42" s="21">
        <f t="shared" ca="1" si="20"/>
        <v>3.2841504045692638E-2</v>
      </c>
      <c r="Q42" s="21">
        <f t="shared" ca="1" si="20"/>
        <v>3.133640552995387E-2</v>
      </c>
      <c r="R42" s="21">
        <f t="shared" ca="1" si="20"/>
        <v>3.1277926720286064E-2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139</v>
      </c>
      <c r="D44" s="74">
        <f ca="1">VALUE(OFFSET(SourceData!$A$4,$B$40+D$2-2011,SourceData!$J$1+General!$B$1))</f>
        <v>139</v>
      </c>
      <c r="E44" s="74">
        <f ca="1">VALUE(OFFSET(SourceData!$A$4,$B$40+E$2-2011,SourceData!$J$1+General!$B$1))</f>
        <v>164</v>
      </c>
      <c r="F44" s="74">
        <f ca="1">VALUE(OFFSET(SourceData!$A$4,$B$40+F$2-2011,SourceData!$J$1+General!$B$1))</f>
        <v>190</v>
      </c>
      <c r="G44" s="74">
        <f ca="1">VALUE(OFFSET(SourceData!$A$4,$B$40+G$2-2011,SourceData!$J$1+General!$B$1))</f>
        <v>221</v>
      </c>
      <c r="H44" s="74">
        <f ca="1">VALUE(OFFSET(SourceData!$A$4,$B$40+H$2-2011,SourceData!$J$1+General!$B$1))</f>
        <v>268</v>
      </c>
      <c r="I44" s="74">
        <f ca="1">VALUE(OFFSET(SourceData!$A$4,$B$40+I$2-2011,SourceData!$J$1+General!$B$1))</f>
        <v>282</v>
      </c>
      <c r="J44" s="74">
        <f ca="1">VALUE(OFFSET(SourceData!$A$4,$B$40+J$2-2011,SourceData!$J$1+General!$B$1))</f>
        <v>290</v>
      </c>
      <c r="K44" s="74">
        <f ca="1">VALUE(OFFSET(SourceData!$A$4,$B$40+K$2-2011,SourceData!$J$1+General!$B$1))</f>
        <v>299</v>
      </c>
      <c r="L44" s="74">
        <f ca="1">VALUE(OFFSET(SourceData!$A$4,$B$40+L$2-2011,SourceData!$J$1+General!$B$1))</f>
        <v>308</v>
      </c>
      <c r="M44" s="74">
        <f ca="1">VALUE(OFFSET(SourceData!$A$4,$B$40+M$2-2011,SourceData!$J$1+General!$B$1))</f>
        <v>317</v>
      </c>
      <c r="N44" s="74">
        <f ca="1">VALUE(OFFSET(SourceData!$A$4,$B$40+N$2-2011,SourceData!$J$1+General!$B$1))</f>
        <v>333</v>
      </c>
      <c r="O44" s="74">
        <f ca="1">VALUE(OFFSET(SourceData!$A$4,$B$40+O$2-2011,SourceData!$J$1+General!$B$1))</f>
        <v>344</v>
      </c>
      <c r="P44" s="74">
        <f ca="1">VALUE(OFFSET(SourceData!$A$4,$B$40+P$2-2011,SourceData!$J$1+General!$B$1))</f>
        <v>356</v>
      </c>
      <c r="Q44" s="74">
        <f ca="1">VALUE(OFFSET(SourceData!$A$4,$B$40+Q$2-2011,SourceData!$J$1+General!$B$1))</f>
        <v>367</v>
      </c>
      <c r="R44" s="74">
        <f ca="1">VALUE(OFFSET(SourceData!$A$4,$B$40+R$2-2011,SourceData!$J$1+General!$B$1))</f>
        <v>378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21">E44/D44-1</f>
        <v>0.17985611510791366</v>
      </c>
      <c r="F45" s="17">
        <f t="shared" ca="1" si="21"/>
        <v>0.15853658536585358</v>
      </c>
      <c r="G45" s="17">
        <f t="shared" ca="1" si="21"/>
        <v>0.16315789473684217</v>
      </c>
      <c r="H45" s="17">
        <f t="shared" ca="1" si="21"/>
        <v>0.21266968325791846</v>
      </c>
      <c r="I45" s="17">
        <f t="shared" ca="1" si="21"/>
        <v>5.2238805970149294E-2</v>
      </c>
      <c r="J45" s="17">
        <f t="shared" ca="1" si="21"/>
        <v>2.8368794326241176E-2</v>
      </c>
      <c r="K45" s="17">
        <f t="shared" ca="1" si="21"/>
        <v>3.1034482758620641E-2</v>
      </c>
      <c r="L45" s="17">
        <f t="shared" ca="1" si="21"/>
        <v>3.0100334448160515E-2</v>
      </c>
      <c r="M45" s="17">
        <f t="shared" ca="1" si="21"/>
        <v>2.9220779220779258E-2</v>
      </c>
      <c r="N45" s="17">
        <f t="shared" ca="1" si="21"/>
        <v>5.0473186119873725E-2</v>
      </c>
      <c r="O45" s="17">
        <f t="shared" ca="1" si="21"/>
        <v>3.3033033033033066E-2</v>
      </c>
      <c r="P45" s="17">
        <f t="shared" ca="1" si="21"/>
        <v>3.488372093023262E-2</v>
      </c>
      <c r="Q45" s="17">
        <f t="shared" ca="1" si="21"/>
        <v>3.0898876404494402E-2</v>
      </c>
      <c r="R45" s="17">
        <f t="shared" ca="1" si="21"/>
        <v>2.997275204359684E-2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showDropDown="1" showInputMessage="1" showErrorMessage="1" sqref="B40"/>
    <dataValidation type="list" allowBlank="1" showInputMessage="1" showErrorMessage="1" sqref="B19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10" sqref="C10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85</v>
      </c>
      <c r="B2" s="26" t="str">
        <f>VLOOKUP(A2,General!$A$9:$B$23,2,FALSE)</f>
        <v>SIE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0.24691358024691357</v>
      </c>
      <c r="E4" s="27">
        <f t="shared" ref="E4:R4" ca="1" si="1">E42</f>
        <v>0.32178217821782185</v>
      </c>
      <c r="F4" s="27">
        <f t="shared" ca="1" si="1"/>
        <v>0.3595505617977528</v>
      </c>
      <c r="G4" s="27">
        <f t="shared" ca="1" si="1"/>
        <v>0.33884297520661155</v>
      </c>
      <c r="H4" s="27">
        <f t="shared" ca="1" si="1"/>
        <v>0.20781893004115237</v>
      </c>
      <c r="I4" s="27">
        <f t="shared" ca="1" si="1"/>
        <v>0.21805792163543436</v>
      </c>
      <c r="J4" s="27">
        <f t="shared" ca="1" si="1"/>
        <v>0.10349650349650341</v>
      </c>
      <c r="K4" s="27">
        <f t="shared" ca="1" si="1"/>
        <v>4.9429657794676896E-2</v>
      </c>
      <c r="L4" s="27">
        <f t="shared" ca="1" si="1"/>
        <v>4.8309178743961345E-2</v>
      </c>
      <c r="M4" s="27">
        <f t="shared" ca="1" si="1"/>
        <v>4.4930875576036922E-2</v>
      </c>
      <c r="N4" s="27">
        <f t="shared" ca="1" si="1"/>
        <v>5.5126791620727644E-2</v>
      </c>
      <c r="O4" s="27">
        <f t="shared" ca="1" si="1"/>
        <v>5.2246603970741878E-2</v>
      </c>
      <c r="P4" s="27">
        <f t="shared" ca="1" si="1"/>
        <v>4.9652432969215399E-2</v>
      </c>
      <c r="Q4" s="27">
        <f t="shared" ca="1" si="1"/>
        <v>4.7303689687795636E-2</v>
      </c>
      <c r="R4" s="27">
        <f t="shared" ca="1" si="1"/>
        <v>4.5167118337850143E-2</v>
      </c>
      <c r="S4" s="17">
        <f ca="1">$W$4</f>
        <v>3.3260781124338834E-2</v>
      </c>
      <c r="T4" s="17">
        <f t="shared" ref="T4:V4" ca="1" si="2">$W$4</f>
        <v>3.3260781124338834E-2</v>
      </c>
      <c r="U4" s="17">
        <f t="shared" ca="1" si="2"/>
        <v>3.3260781124338834E-2</v>
      </c>
      <c r="V4" s="17">
        <f t="shared" ca="1" si="2"/>
        <v>3.3260781124338834E-2</v>
      </c>
      <c r="W4" s="17">
        <f ca="1">SUMIF(SourceData!$AO$3:$BA$3,$B$2,SourceData!$AO$25:$BA$25)</f>
        <v>3.3260781124338834E-2</v>
      </c>
      <c r="X4" s="73">
        <f ca="1">W4</f>
        <v>3.3260781124338834E-2</v>
      </c>
      <c r="Y4" s="17">
        <f ca="1">SUMIF(SourceData!$AO$3:$BA$3,$B$2,SourceData!$AO$27:$BA$27)</f>
        <v>3.3260781124338834E-2</v>
      </c>
      <c r="Z4" s="17">
        <f ca="1">SUMIF(SourceData!$AO$3:$BA$3,$B$2,SourceData!$AO$28:$BA$28)</f>
        <v>3.3260781124338834E-2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137.69999999999999</v>
      </c>
      <c r="D5" s="6">
        <f t="shared" ref="D5:H5" ca="1" si="3">D41*(1-D7)*(1-D10)</f>
        <v>171.7</v>
      </c>
      <c r="E5" s="6">
        <f t="shared" ca="1" si="3"/>
        <v>226.95</v>
      </c>
      <c r="F5" s="6">
        <f t="shared" ca="1" si="3"/>
        <v>308.55</v>
      </c>
      <c r="G5" s="6">
        <f t="shared" ca="1" si="3"/>
        <v>413.09999999999997</v>
      </c>
      <c r="H5" s="6">
        <f t="shared" ca="1" si="3"/>
        <v>498.95</v>
      </c>
      <c r="I5" s="7">
        <f t="shared" ref="I5:X5" ca="1" si="4">H5*(1+I4)</f>
        <v>607.75</v>
      </c>
      <c r="J5" s="7">
        <f t="shared" ca="1" si="4"/>
        <v>670.65</v>
      </c>
      <c r="K5" s="7">
        <f t="shared" ca="1" si="4"/>
        <v>703.80000000000007</v>
      </c>
      <c r="L5" s="7">
        <f t="shared" ca="1" si="4"/>
        <v>737.80000000000007</v>
      </c>
      <c r="M5" s="7">
        <f t="shared" ca="1" si="4"/>
        <v>770.95000000000016</v>
      </c>
      <c r="N5" s="7">
        <f t="shared" ca="1" si="4"/>
        <v>813.45000000000016</v>
      </c>
      <c r="O5" s="7">
        <f t="shared" ca="1" si="4"/>
        <v>855.95000000000016</v>
      </c>
      <c r="P5" s="7">
        <f t="shared" ca="1" si="4"/>
        <v>898.45</v>
      </c>
      <c r="Q5" s="7">
        <f t="shared" ca="1" si="4"/>
        <v>940.95</v>
      </c>
      <c r="R5" s="7">
        <f t="shared" ca="1" si="4"/>
        <v>983.45000000000016</v>
      </c>
      <c r="S5" s="7">
        <f t="shared" ca="1" si="4"/>
        <v>1016.1603151967312</v>
      </c>
      <c r="T5" s="7">
        <f t="shared" ca="1" si="4"/>
        <v>1049.9586010277287</v>
      </c>
      <c r="U5" s="7">
        <f t="shared" ca="1" si="4"/>
        <v>1084.881044246129</v>
      </c>
      <c r="V5" s="7">
        <f t="shared" ca="1" si="4"/>
        <v>1120.9650352047436</v>
      </c>
      <c r="W5" s="7">
        <f t="shared" ca="1" si="4"/>
        <v>1158.2492078887253</v>
      </c>
      <c r="X5" s="7">
        <f t="shared" ca="1" si="4"/>
        <v>1196.773481279751</v>
      </c>
      <c r="Y5" s="7">
        <f ca="1">W5*(1+Y4)^(Y2-W2)</f>
        <v>1606.5767078414819</v>
      </c>
      <c r="Z5" s="7">
        <f t="shared" ref="Z5:AA5" ca="1" si="5">Y5*(1+Z4)^(Z2-Y2)</f>
        <v>2228.4398733875441</v>
      </c>
      <c r="AA5" s="7">
        <f t="shared" ca="1" si="5"/>
        <v>2228.4398733875441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80">
        <f>($H$7-$C$7)/($H$2-$C$2)+C7</f>
        <v>0</v>
      </c>
      <c r="E7" s="80">
        <f t="shared" ref="E7:G7" si="6">($H$7-$C$7)/($H$2-$C$2)+D7</f>
        <v>0</v>
      </c>
      <c r="F7" s="80">
        <f t="shared" si="6"/>
        <v>0</v>
      </c>
      <c r="G7" s="80">
        <f t="shared" si="6"/>
        <v>0</v>
      </c>
      <c r="H7" s="22">
        <v>0</v>
      </c>
      <c r="I7" s="28">
        <f t="shared" ref="I7:AA7" si="7">H7</f>
        <v>0</v>
      </c>
      <c r="J7" s="28">
        <f t="shared" si="7"/>
        <v>0</v>
      </c>
      <c r="K7" s="28">
        <f t="shared" si="7"/>
        <v>0</v>
      </c>
      <c r="L7" s="28">
        <f t="shared" si="7"/>
        <v>0</v>
      </c>
      <c r="M7" s="28">
        <f t="shared" si="7"/>
        <v>0</v>
      </c>
      <c r="N7" s="28">
        <f t="shared" si="7"/>
        <v>0</v>
      </c>
      <c r="O7" s="28">
        <f t="shared" si="7"/>
        <v>0</v>
      </c>
      <c r="P7" s="28">
        <f t="shared" si="7"/>
        <v>0</v>
      </c>
      <c r="Q7" s="28">
        <f t="shared" si="7"/>
        <v>0</v>
      </c>
      <c r="R7" s="28">
        <f t="shared" si="7"/>
        <v>0</v>
      </c>
      <c r="S7" s="28">
        <f t="shared" si="7"/>
        <v>0</v>
      </c>
      <c r="T7" s="28">
        <f t="shared" si="7"/>
        <v>0</v>
      </c>
      <c r="U7" s="28">
        <f t="shared" si="7"/>
        <v>0</v>
      </c>
      <c r="V7" s="28">
        <f t="shared" si="7"/>
        <v>0</v>
      </c>
      <c r="W7" s="28">
        <f t="shared" si="7"/>
        <v>0</v>
      </c>
      <c r="X7" s="28">
        <f t="shared" si="7"/>
        <v>0</v>
      </c>
      <c r="Y7" s="28">
        <f t="shared" si="7"/>
        <v>0</v>
      </c>
      <c r="Z7" s="28">
        <f t="shared" si="7"/>
        <v>0</v>
      </c>
      <c r="AA7" s="28">
        <f t="shared" si="7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8">C5/(1-C7)</f>
        <v>137.69999999999999</v>
      </c>
      <c r="D8" s="8">
        <f t="shared" ca="1" si="8"/>
        <v>171.7</v>
      </c>
      <c r="E8" s="8">
        <f t="shared" ca="1" si="8"/>
        <v>226.95</v>
      </c>
      <c r="F8" s="8">
        <f t="shared" ca="1" si="8"/>
        <v>308.55</v>
      </c>
      <c r="G8" s="8">
        <f t="shared" ca="1" si="8"/>
        <v>413.09999999999997</v>
      </c>
      <c r="H8" s="8">
        <f t="shared" ca="1" si="8"/>
        <v>498.95</v>
      </c>
      <c r="I8" s="8">
        <f t="shared" ca="1" si="8"/>
        <v>607.75</v>
      </c>
      <c r="J8" s="8">
        <f t="shared" ca="1" si="8"/>
        <v>670.65</v>
      </c>
      <c r="K8" s="8">
        <f t="shared" ca="1" si="8"/>
        <v>703.80000000000007</v>
      </c>
      <c r="L8" s="8">
        <f t="shared" ca="1" si="8"/>
        <v>737.80000000000007</v>
      </c>
      <c r="M8" s="8">
        <f t="shared" ca="1" si="8"/>
        <v>770.95000000000016</v>
      </c>
      <c r="N8" s="8">
        <f t="shared" ca="1" si="8"/>
        <v>813.45000000000016</v>
      </c>
      <c r="O8" s="8">
        <f t="shared" ca="1" si="8"/>
        <v>855.95000000000016</v>
      </c>
      <c r="P8" s="8">
        <f t="shared" ca="1" si="8"/>
        <v>898.45</v>
      </c>
      <c r="Q8" s="8">
        <f t="shared" ca="1" si="8"/>
        <v>940.95</v>
      </c>
      <c r="R8" s="8">
        <f t="shared" ca="1" si="8"/>
        <v>983.45000000000016</v>
      </c>
      <c r="S8" s="8">
        <f t="shared" ca="1" si="8"/>
        <v>1016.1603151967312</v>
      </c>
      <c r="T8" s="8">
        <f t="shared" ca="1" si="8"/>
        <v>1049.9586010277287</v>
      </c>
      <c r="U8" s="8">
        <f t="shared" ca="1" si="8"/>
        <v>1084.881044246129</v>
      </c>
      <c r="V8" s="8">
        <f t="shared" ca="1" si="8"/>
        <v>1120.9650352047436</v>
      </c>
      <c r="W8" s="8">
        <f t="shared" ca="1" si="8"/>
        <v>1158.2492078887253</v>
      </c>
      <c r="X8" s="8">
        <f t="shared" ca="1" si="8"/>
        <v>1196.773481279751</v>
      </c>
      <c r="Y8" s="8">
        <f t="shared" ca="1" si="8"/>
        <v>1606.5767078414819</v>
      </c>
      <c r="Z8" s="8">
        <f t="shared" ca="1" si="8"/>
        <v>2228.4398733875441</v>
      </c>
      <c r="AA8" s="8">
        <f t="shared" ca="1" si="8"/>
        <v>2228.4398733875441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9">D10</f>
        <v>0.15</v>
      </c>
      <c r="F10" s="27">
        <f t="shared" si="9"/>
        <v>0.15</v>
      </c>
      <c r="G10" s="27">
        <f t="shared" si="9"/>
        <v>0.15</v>
      </c>
      <c r="H10" s="27">
        <f t="shared" si="9"/>
        <v>0.15</v>
      </c>
      <c r="I10" s="27">
        <f t="shared" si="9"/>
        <v>0.15</v>
      </c>
      <c r="J10" s="27">
        <f t="shared" si="9"/>
        <v>0.15</v>
      </c>
      <c r="K10" s="27">
        <f t="shared" si="9"/>
        <v>0.15</v>
      </c>
      <c r="L10" s="27">
        <f t="shared" si="9"/>
        <v>0.15</v>
      </c>
      <c r="M10" s="27">
        <f t="shared" si="9"/>
        <v>0.15</v>
      </c>
      <c r="N10" s="27">
        <f t="shared" si="9"/>
        <v>0.15</v>
      </c>
      <c r="O10" s="27">
        <f t="shared" si="9"/>
        <v>0.15</v>
      </c>
      <c r="P10" s="27">
        <f t="shared" si="9"/>
        <v>0.15</v>
      </c>
      <c r="Q10" s="27">
        <f t="shared" si="9"/>
        <v>0.15</v>
      </c>
      <c r="R10" s="27">
        <f t="shared" si="9"/>
        <v>0.15</v>
      </c>
      <c r="S10" s="27">
        <f t="shared" si="9"/>
        <v>0.15</v>
      </c>
      <c r="T10" s="27">
        <f t="shared" si="9"/>
        <v>0.15</v>
      </c>
      <c r="U10" s="27">
        <f t="shared" si="9"/>
        <v>0.15</v>
      </c>
      <c r="V10" s="27">
        <f t="shared" si="9"/>
        <v>0.15</v>
      </c>
      <c r="W10" s="27">
        <f t="shared" si="9"/>
        <v>0.15</v>
      </c>
      <c r="X10" s="27">
        <f t="shared" si="9"/>
        <v>0.15</v>
      </c>
      <c r="Y10" s="27">
        <f t="shared" si="9"/>
        <v>0.15</v>
      </c>
      <c r="Z10" s="27">
        <f t="shared" si="9"/>
        <v>0.15</v>
      </c>
      <c r="AA10" s="27">
        <f t="shared" si="9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10">C8/(1-C10)</f>
        <v>162</v>
      </c>
      <c r="D11" s="8">
        <f t="shared" ca="1" si="10"/>
        <v>202</v>
      </c>
      <c r="E11" s="8">
        <f t="shared" ca="1" si="10"/>
        <v>267</v>
      </c>
      <c r="F11" s="8">
        <f t="shared" ca="1" si="10"/>
        <v>363</v>
      </c>
      <c r="G11" s="8">
        <f t="shared" ca="1" si="10"/>
        <v>486</v>
      </c>
      <c r="H11" s="8">
        <f t="shared" ca="1" si="10"/>
        <v>587</v>
      </c>
      <c r="I11" s="8">
        <f t="shared" ca="1" si="10"/>
        <v>715</v>
      </c>
      <c r="J11" s="8">
        <f t="shared" ca="1" si="10"/>
        <v>789</v>
      </c>
      <c r="K11" s="8">
        <f t="shared" ca="1" si="10"/>
        <v>828.00000000000011</v>
      </c>
      <c r="L11" s="8">
        <f t="shared" ca="1" si="10"/>
        <v>868.00000000000011</v>
      </c>
      <c r="M11" s="8">
        <f t="shared" ca="1" si="10"/>
        <v>907.00000000000023</v>
      </c>
      <c r="N11" s="8">
        <f t="shared" ca="1" si="10"/>
        <v>957.00000000000023</v>
      </c>
      <c r="O11" s="8">
        <f t="shared" ca="1" si="10"/>
        <v>1007.0000000000002</v>
      </c>
      <c r="P11" s="8">
        <f t="shared" ca="1" si="10"/>
        <v>1057</v>
      </c>
      <c r="Q11" s="8">
        <f t="shared" ca="1" si="10"/>
        <v>1107</v>
      </c>
      <c r="R11" s="8">
        <f t="shared" ca="1" si="10"/>
        <v>1157.0000000000002</v>
      </c>
      <c r="S11" s="8">
        <f t="shared" ca="1" si="10"/>
        <v>1195.4827237608602</v>
      </c>
      <c r="T11" s="8">
        <f t="shared" ca="1" si="10"/>
        <v>1235.2454129737985</v>
      </c>
      <c r="U11" s="8">
        <f t="shared" ca="1" si="10"/>
        <v>1276.3306402895637</v>
      </c>
      <c r="V11" s="8">
        <f t="shared" ca="1" si="10"/>
        <v>1318.782394358522</v>
      </c>
      <c r="W11" s="8">
        <f t="shared" ca="1" si="10"/>
        <v>1362.6461269279123</v>
      </c>
      <c r="X11" s="8">
        <f t="shared" ca="1" si="10"/>
        <v>1407.9688015055895</v>
      </c>
      <c r="Y11" s="8">
        <f t="shared" ca="1" si="10"/>
        <v>1890.0902445193906</v>
      </c>
      <c r="Z11" s="8">
        <f t="shared" ca="1" si="10"/>
        <v>2621.6939686912283</v>
      </c>
      <c r="AA11" s="8">
        <f t="shared" ca="1" si="10"/>
        <v>2621.6939686912283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11">D13</f>
        <v>0</v>
      </c>
      <c r="F13" s="36">
        <f t="shared" si="11"/>
        <v>0</v>
      </c>
      <c r="G13" s="36">
        <f t="shared" si="11"/>
        <v>0</v>
      </c>
      <c r="H13" s="36">
        <f t="shared" si="11"/>
        <v>0</v>
      </c>
      <c r="I13" s="36">
        <f t="shared" si="11"/>
        <v>0</v>
      </c>
      <c r="J13" s="36">
        <f t="shared" si="11"/>
        <v>0</v>
      </c>
      <c r="K13" s="36">
        <f t="shared" si="11"/>
        <v>0</v>
      </c>
      <c r="L13" s="36">
        <f t="shared" si="11"/>
        <v>0</v>
      </c>
      <c r="M13" s="36">
        <f t="shared" si="11"/>
        <v>0</v>
      </c>
      <c r="N13" s="36">
        <f t="shared" si="11"/>
        <v>0</v>
      </c>
      <c r="O13" s="36">
        <f t="shared" si="11"/>
        <v>0</v>
      </c>
      <c r="P13" s="36">
        <f t="shared" si="11"/>
        <v>0</v>
      </c>
      <c r="Q13" s="36">
        <f t="shared" si="11"/>
        <v>0</v>
      </c>
      <c r="R13" s="36">
        <f t="shared" si="11"/>
        <v>0</v>
      </c>
      <c r="S13" s="36">
        <f t="shared" si="11"/>
        <v>0</v>
      </c>
      <c r="T13" s="36">
        <f t="shared" si="11"/>
        <v>0</v>
      </c>
      <c r="U13" s="36">
        <f t="shared" ref="U13:AA18" si="12">T13</f>
        <v>0</v>
      </c>
      <c r="V13" s="36">
        <f t="shared" si="12"/>
        <v>0</v>
      </c>
      <c r="W13" s="36">
        <f t="shared" si="12"/>
        <v>0</v>
      </c>
      <c r="X13" s="36">
        <f t="shared" si="12"/>
        <v>0</v>
      </c>
      <c r="Y13" s="36">
        <f t="shared" si="12"/>
        <v>0</v>
      </c>
      <c r="Z13" s="36">
        <f t="shared" si="12"/>
        <v>0</v>
      </c>
      <c r="AA13" s="36">
        <f t="shared" si="12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11"/>
        <v>0</v>
      </c>
      <c r="F14" s="36">
        <f t="shared" si="11"/>
        <v>0</v>
      </c>
      <c r="G14" s="36">
        <f t="shared" si="11"/>
        <v>0</v>
      </c>
      <c r="H14" s="36">
        <f t="shared" si="11"/>
        <v>0</v>
      </c>
      <c r="I14" s="36">
        <f t="shared" si="11"/>
        <v>0</v>
      </c>
      <c r="J14" s="36">
        <f t="shared" si="11"/>
        <v>0</v>
      </c>
      <c r="K14" s="36">
        <f t="shared" si="11"/>
        <v>0</v>
      </c>
      <c r="L14" s="36">
        <f t="shared" si="11"/>
        <v>0</v>
      </c>
      <c r="M14" s="36">
        <f t="shared" si="11"/>
        <v>0</v>
      </c>
      <c r="N14" s="36">
        <f t="shared" si="11"/>
        <v>0</v>
      </c>
      <c r="O14" s="36">
        <f t="shared" si="11"/>
        <v>0</v>
      </c>
      <c r="P14" s="36">
        <f t="shared" si="11"/>
        <v>0</v>
      </c>
      <c r="Q14" s="36">
        <f t="shared" si="11"/>
        <v>0</v>
      </c>
      <c r="R14" s="36">
        <f t="shared" si="11"/>
        <v>0</v>
      </c>
      <c r="S14" s="36">
        <f t="shared" si="11"/>
        <v>0</v>
      </c>
      <c r="T14" s="36">
        <f t="shared" si="11"/>
        <v>0</v>
      </c>
      <c r="U14" s="36">
        <f t="shared" si="12"/>
        <v>0</v>
      </c>
      <c r="V14" s="36">
        <f t="shared" si="12"/>
        <v>0</v>
      </c>
      <c r="W14" s="36">
        <f t="shared" si="12"/>
        <v>0</v>
      </c>
      <c r="X14" s="36">
        <f t="shared" si="12"/>
        <v>0</v>
      </c>
      <c r="Y14" s="36">
        <f t="shared" si="12"/>
        <v>0</v>
      </c>
      <c r="Z14" s="36">
        <f t="shared" si="12"/>
        <v>0</v>
      </c>
      <c r="AA14" s="36">
        <f t="shared" si="12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11"/>
        <v>0</v>
      </c>
      <c r="F15" s="36">
        <f t="shared" si="11"/>
        <v>0</v>
      </c>
      <c r="G15" s="36">
        <f t="shared" si="11"/>
        <v>0</v>
      </c>
      <c r="H15" s="36">
        <f t="shared" si="11"/>
        <v>0</v>
      </c>
      <c r="I15" s="36">
        <f t="shared" si="11"/>
        <v>0</v>
      </c>
      <c r="J15" s="36">
        <f t="shared" si="11"/>
        <v>0</v>
      </c>
      <c r="K15" s="36">
        <f t="shared" si="11"/>
        <v>0</v>
      </c>
      <c r="L15" s="36">
        <f t="shared" si="11"/>
        <v>0</v>
      </c>
      <c r="M15" s="36">
        <f t="shared" si="11"/>
        <v>0</v>
      </c>
      <c r="N15" s="36">
        <f t="shared" si="11"/>
        <v>0</v>
      </c>
      <c r="O15" s="36">
        <f t="shared" si="11"/>
        <v>0</v>
      </c>
      <c r="P15" s="36">
        <f t="shared" si="11"/>
        <v>0</v>
      </c>
      <c r="Q15" s="36">
        <f t="shared" si="11"/>
        <v>0</v>
      </c>
      <c r="R15" s="36">
        <f t="shared" si="11"/>
        <v>0</v>
      </c>
      <c r="S15" s="36">
        <f t="shared" si="11"/>
        <v>0</v>
      </c>
      <c r="T15" s="36">
        <f t="shared" si="11"/>
        <v>0</v>
      </c>
      <c r="U15" s="36">
        <f t="shared" si="12"/>
        <v>0</v>
      </c>
      <c r="V15" s="36">
        <f t="shared" si="12"/>
        <v>0</v>
      </c>
      <c r="W15" s="36">
        <f t="shared" si="12"/>
        <v>0</v>
      </c>
      <c r="X15" s="36">
        <f t="shared" si="12"/>
        <v>0</v>
      </c>
      <c r="Y15" s="36">
        <f t="shared" si="12"/>
        <v>0</v>
      </c>
      <c r="Z15" s="36">
        <f t="shared" si="12"/>
        <v>0</v>
      </c>
      <c r="AA15" s="36">
        <f t="shared" si="12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3">C16</f>
        <v>0</v>
      </c>
      <c r="E16" s="36">
        <f t="shared" si="11"/>
        <v>0</v>
      </c>
      <c r="F16" s="36">
        <f t="shared" si="11"/>
        <v>0</v>
      </c>
      <c r="G16" s="36">
        <f t="shared" si="11"/>
        <v>0</v>
      </c>
      <c r="H16" s="36">
        <f t="shared" si="11"/>
        <v>0</v>
      </c>
      <c r="I16" s="36">
        <f t="shared" si="11"/>
        <v>0</v>
      </c>
      <c r="J16" s="36">
        <f t="shared" si="11"/>
        <v>0</v>
      </c>
      <c r="K16" s="36">
        <f t="shared" si="11"/>
        <v>0</v>
      </c>
      <c r="L16" s="36">
        <f t="shared" si="11"/>
        <v>0</v>
      </c>
      <c r="M16" s="36">
        <f t="shared" si="11"/>
        <v>0</v>
      </c>
      <c r="N16" s="36">
        <f t="shared" si="11"/>
        <v>0</v>
      </c>
      <c r="O16" s="36">
        <f t="shared" si="11"/>
        <v>0</v>
      </c>
      <c r="P16" s="36">
        <f t="shared" si="11"/>
        <v>0</v>
      </c>
      <c r="Q16" s="36">
        <f t="shared" si="11"/>
        <v>0</v>
      </c>
      <c r="R16" s="36">
        <f t="shared" si="11"/>
        <v>0</v>
      </c>
      <c r="S16" s="36">
        <f t="shared" si="11"/>
        <v>0</v>
      </c>
      <c r="T16" s="36">
        <f t="shared" si="11"/>
        <v>0</v>
      </c>
      <c r="U16" s="36">
        <f t="shared" si="12"/>
        <v>0</v>
      </c>
      <c r="V16" s="36">
        <f t="shared" si="12"/>
        <v>0</v>
      </c>
      <c r="W16" s="36">
        <f t="shared" si="12"/>
        <v>0</v>
      </c>
      <c r="X16" s="36">
        <f t="shared" si="12"/>
        <v>0</v>
      </c>
      <c r="Y16" s="36">
        <f t="shared" si="12"/>
        <v>0</v>
      </c>
      <c r="Z16" s="36">
        <f t="shared" si="12"/>
        <v>0</v>
      </c>
      <c r="AA16" s="36">
        <f t="shared" si="12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3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0</v>
      </c>
      <c r="K17" s="36">
        <f t="shared" si="11"/>
        <v>0</v>
      </c>
      <c r="L17" s="36">
        <f t="shared" si="11"/>
        <v>0</v>
      </c>
      <c r="M17" s="36">
        <f t="shared" si="11"/>
        <v>0</v>
      </c>
      <c r="N17" s="36">
        <f t="shared" si="11"/>
        <v>0</v>
      </c>
      <c r="O17" s="36">
        <f t="shared" si="11"/>
        <v>0</v>
      </c>
      <c r="P17" s="36">
        <f t="shared" si="11"/>
        <v>0</v>
      </c>
      <c r="Q17" s="36">
        <f t="shared" si="11"/>
        <v>0</v>
      </c>
      <c r="R17" s="36">
        <f t="shared" si="11"/>
        <v>0</v>
      </c>
      <c r="S17" s="36">
        <f t="shared" si="11"/>
        <v>0</v>
      </c>
      <c r="T17" s="36">
        <f t="shared" si="11"/>
        <v>0</v>
      </c>
      <c r="U17" s="36">
        <f t="shared" si="12"/>
        <v>0</v>
      </c>
      <c r="V17" s="36">
        <f t="shared" si="12"/>
        <v>0</v>
      </c>
      <c r="W17" s="36">
        <f t="shared" si="12"/>
        <v>0</v>
      </c>
      <c r="X17" s="36">
        <f t="shared" si="12"/>
        <v>0</v>
      </c>
      <c r="Y17" s="36">
        <f t="shared" si="12"/>
        <v>0</v>
      </c>
      <c r="Z17" s="36">
        <f t="shared" si="12"/>
        <v>0</v>
      </c>
      <c r="AA17" s="36">
        <f t="shared" si="12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3"/>
        <v>0</v>
      </c>
      <c r="E18" s="36">
        <f t="shared" si="11"/>
        <v>0</v>
      </c>
      <c r="F18" s="36">
        <f t="shared" si="11"/>
        <v>0</v>
      </c>
      <c r="G18" s="36">
        <f t="shared" si="11"/>
        <v>0</v>
      </c>
      <c r="H18" s="36">
        <f t="shared" si="11"/>
        <v>0</v>
      </c>
      <c r="I18" s="36">
        <f t="shared" si="11"/>
        <v>0</v>
      </c>
      <c r="J18" s="36">
        <f t="shared" si="11"/>
        <v>0</v>
      </c>
      <c r="K18" s="36">
        <f t="shared" si="11"/>
        <v>0</v>
      </c>
      <c r="L18" s="36">
        <f t="shared" si="11"/>
        <v>0</v>
      </c>
      <c r="M18" s="36">
        <f t="shared" si="11"/>
        <v>0</v>
      </c>
      <c r="N18" s="36">
        <f t="shared" si="11"/>
        <v>0</v>
      </c>
      <c r="O18" s="36">
        <f t="shared" si="11"/>
        <v>0</v>
      </c>
      <c r="P18" s="36">
        <f t="shared" si="11"/>
        <v>0</v>
      </c>
      <c r="Q18" s="36">
        <f t="shared" si="11"/>
        <v>0</v>
      </c>
      <c r="R18" s="36">
        <f t="shared" si="11"/>
        <v>0</v>
      </c>
      <c r="S18" s="36">
        <f t="shared" si="11"/>
        <v>0</v>
      </c>
      <c r="T18" s="36">
        <f t="shared" si="11"/>
        <v>0</v>
      </c>
      <c r="U18" s="36">
        <f t="shared" si="12"/>
        <v>0</v>
      </c>
      <c r="V18" s="36">
        <f t="shared" si="12"/>
        <v>0</v>
      </c>
      <c r="W18" s="36">
        <f t="shared" si="12"/>
        <v>0</v>
      </c>
      <c r="X18" s="36">
        <f t="shared" si="12"/>
        <v>0</v>
      </c>
      <c r="Y18" s="36">
        <f t="shared" si="12"/>
        <v>0</v>
      </c>
      <c r="Z18" s="36">
        <f t="shared" si="12"/>
        <v>0</v>
      </c>
      <c r="AA18" s="36">
        <f t="shared" si="12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4">SUM(D13:D17)</f>
        <v>0</v>
      </c>
      <c r="E19" s="37">
        <f t="shared" si="14"/>
        <v>0</v>
      </c>
      <c r="F19" s="37">
        <f t="shared" si="14"/>
        <v>0</v>
      </c>
      <c r="G19" s="37">
        <f t="shared" si="14"/>
        <v>0</v>
      </c>
      <c r="H19" s="37">
        <f t="shared" si="14"/>
        <v>0</v>
      </c>
      <c r="I19" s="37">
        <f t="shared" si="14"/>
        <v>0</v>
      </c>
      <c r="J19" s="37">
        <f t="shared" si="14"/>
        <v>0</v>
      </c>
      <c r="K19" s="37">
        <f t="shared" si="14"/>
        <v>0</v>
      </c>
      <c r="L19" s="37">
        <f t="shared" si="14"/>
        <v>0</v>
      </c>
      <c r="M19" s="37">
        <f t="shared" si="14"/>
        <v>0</v>
      </c>
      <c r="N19" s="37">
        <f t="shared" si="14"/>
        <v>0</v>
      </c>
      <c r="O19" s="37">
        <f t="shared" si="14"/>
        <v>0</v>
      </c>
      <c r="P19" s="37">
        <f t="shared" si="14"/>
        <v>0</v>
      </c>
      <c r="Q19" s="37">
        <f t="shared" si="14"/>
        <v>0</v>
      </c>
      <c r="R19" s="37">
        <f t="shared" si="14"/>
        <v>0</v>
      </c>
      <c r="S19" s="37">
        <f t="shared" si="14"/>
        <v>0</v>
      </c>
      <c r="T19" s="37">
        <f t="shared" si="14"/>
        <v>0</v>
      </c>
      <c r="U19" s="37">
        <f t="shared" si="14"/>
        <v>0</v>
      </c>
      <c r="V19" s="37">
        <f t="shared" si="14"/>
        <v>0</v>
      </c>
      <c r="W19" s="37">
        <f t="shared" si="14"/>
        <v>0</v>
      </c>
      <c r="X19" s="37">
        <f t="shared" si="14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5">C19+C11</f>
        <v>162</v>
      </c>
      <c r="D20" s="39">
        <f t="shared" ca="1" si="15"/>
        <v>202</v>
      </c>
      <c r="E20" s="39">
        <f t="shared" ca="1" si="15"/>
        <v>267</v>
      </c>
      <c r="F20" s="39">
        <f t="shared" ca="1" si="15"/>
        <v>363</v>
      </c>
      <c r="G20" s="39">
        <f t="shared" ca="1" si="15"/>
        <v>486</v>
      </c>
      <c r="H20" s="39">
        <f t="shared" ca="1" si="15"/>
        <v>587</v>
      </c>
      <c r="I20" s="39">
        <f t="shared" ca="1" si="15"/>
        <v>715</v>
      </c>
      <c r="J20" s="39">
        <f t="shared" ca="1" si="15"/>
        <v>789</v>
      </c>
      <c r="K20" s="39">
        <f t="shared" ca="1" si="15"/>
        <v>828.00000000000011</v>
      </c>
      <c r="L20" s="39">
        <f t="shared" ca="1" si="15"/>
        <v>868.00000000000011</v>
      </c>
      <c r="M20" s="39">
        <f t="shared" ca="1" si="15"/>
        <v>907.00000000000023</v>
      </c>
      <c r="N20" s="39">
        <f t="shared" ca="1" si="15"/>
        <v>957.00000000000023</v>
      </c>
      <c r="O20" s="39">
        <f t="shared" ca="1" si="15"/>
        <v>1007.0000000000002</v>
      </c>
      <c r="P20" s="39">
        <f t="shared" ca="1" si="15"/>
        <v>1057</v>
      </c>
      <c r="Q20" s="39">
        <f t="shared" ca="1" si="15"/>
        <v>1107</v>
      </c>
      <c r="R20" s="39">
        <f t="shared" ca="1" si="15"/>
        <v>1157.0000000000002</v>
      </c>
      <c r="S20" s="39">
        <f t="shared" ca="1" si="15"/>
        <v>1195.4827237608602</v>
      </c>
      <c r="T20" s="39">
        <f t="shared" ca="1" si="15"/>
        <v>1235.2454129737985</v>
      </c>
      <c r="U20" s="39">
        <f t="shared" ca="1" si="15"/>
        <v>1276.3306402895637</v>
      </c>
      <c r="V20" s="39">
        <f t="shared" ca="1" si="15"/>
        <v>1318.782394358522</v>
      </c>
      <c r="W20" s="39">
        <f t="shared" ca="1" si="15"/>
        <v>1362.6461269279123</v>
      </c>
      <c r="X20" s="39">
        <f t="shared" ca="1" si="15"/>
        <v>1407.9688015055895</v>
      </c>
      <c r="Y20" s="39">
        <f t="shared" ca="1" si="15"/>
        <v>1890.0902445193906</v>
      </c>
      <c r="Z20" s="39">
        <f t="shared" ca="1" si="15"/>
        <v>2621.6939686912283</v>
      </c>
      <c r="AA20" s="39">
        <f t="shared" ca="1" si="15"/>
        <v>2621.6939686912283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 t="e">
        <v>#N/A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 t="e">
        <f ca="1">(C21+C25)/C11-1</f>
        <v>#N/A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 t="e">
        <f ca="1">(C21+C25-C13)/C11-1</f>
        <v>#N/A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 t="e">
        <f ca="1">C25/C11-1</f>
        <v>#N/A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 t="e">
        <f ca="1">(C25-C13)/C11-1</f>
        <v>#N/A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 t="e">
        <v>#N/A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 t="e">
        <f ca="1">C30/C11-1</f>
        <v>#N/A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 t="e">
        <f ca="1">(C30-C13)/C11-1</f>
        <v>#N/A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38</v>
      </c>
      <c r="D33" s="23">
        <f ca="1">D20/(D34*8.76)</f>
        <v>38</v>
      </c>
      <c r="E33" s="23">
        <f ca="1">E20/(E34*8.76)</f>
        <v>50</v>
      </c>
      <c r="F33" s="23">
        <f t="shared" ref="F33:X33" ca="1" si="16">F20/(F34*8.76)</f>
        <v>67.999999999999986</v>
      </c>
      <c r="G33" s="23">
        <f t="shared" ca="1" si="16"/>
        <v>91</v>
      </c>
      <c r="H33" s="23">
        <f t="shared" ca="1" si="16"/>
        <v>109.99999999999999</v>
      </c>
      <c r="I33" s="23">
        <f t="shared" ca="1" si="16"/>
        <v>133.99999999999997</v>
      </c>
      <c r="J33" s="23">
        <f t="shared" ca="1" si="16"/>
        <v>148</v>
      </c>
      <c r="K33" s="23">
        <f t="shared" ca="1" si="16"/>
        <v>155.00000000000003</v>
      </c>
      <c r="L33" s="23">
        <f t="shared" ca="1" si="16"/>
        <v>162.00000000000003</v>
      </c>
      <c r="M33" s="23">
        <f t="shared" ca="1" si="16"/>
        <v>170.00000000000006</v>
      </c>
      <c r="N33" s="23">
        <f t="shared" ca="1" si="16"/>
        <v>179.00000000000003</v>
      </c>
      <c r="O33" s="23">
        <f t="shared" ca="1" si="16"/>
        <v>188.00000000000003</v>
      </c>
      <c r="P33" s="23">
        <f t="shared" ca="1" si="16"/>
        <v>198</v>
      </c>
      <c r="Q33" s="23">
        <f t="shared" ca="1" si="16"/>
        <v>206.99999999999997</v>
      </c>
      <c r="R33" s="23">
        <f t="shared" ca="1" si="16"/>
        <v>217.00000000000003</v>
      </c>
      <c r="S33" s="23">
        <f t="shared" ca="1" si="16"/>
        <v>224.21758950398154</v>
      </c>
      <c r="T33" s="23">
        <f t="shared" ca="1" si="16"/>
        <v>231.67524167270031</v>
      </c>
      <c r="U33" s="23">
        <f t="shared" ca="1" si="16"/>
        <v>239.38094117790433</v>
      </c>
      <c r="V33" s="23">
        <f t="shared" ca="1" si="16"/>
        <v>247.34293826776081</v>
      </c>
      <c r="W33" s="23">
        <f t="shared" ca="1" si="16"/>
        <v>255.56975760013566</v>
      </c>
      <c r="X33" s="23">
        <f t="shared" ca="1" si="16"/>
        <v>264.07020736967405</v>
      </c>
    </row>
    <row r="34" spans="1:24" ht="15" x14ac:dyDescent="0.25">
      <c r="A34" s="1" t="s">
        <v>7</v>
      </c>
      <c r="C34" s="77">
        <f ca="1">C41/(C44*8.76)</f>
        <v>0.48666186012977652</v>
      </c>
      <c r="D34" s="77">
        <f ca="1">D41/(D44*8.76)</f>
        <v>0.60682528238404232</v>
      </c>
      <c r="E34" s="77">
        <f t="shared" ref="E34:R34" ca="1" si="17">E41/(E44*8.76)</f>
        <v>0.6095890410958904</v>
      </c>
      <c r="F34" s="77">
        <f t="shared" ca="1" si="17"/>
        <v>0.60938759065269954</v>
      </c>
      <c r="G34" s="77">
        <f t="shared" ca="1" si="17"/>
        <v>0.60966430829444529</v>
      </c>
      <c r="H34" s="77">
        <f t="shared" ca="1" si="17"/>
        <v>0.60917393109173934</v>
      </c>
      <c r="I34" s="77">
        <f t="shared" ca="1" si="17"/>
        <v>0.60911197437470188</v>
      </c>
      <c r="J34" s="77">
        <f t="shared" ca="1" si="17"/>
        <v>0.60857089966679012</v>
      </c>
      <c r="K34" s="77">
        <f t="shared" ca="1" si="17"/>
        <v>0.60980998674326115</v>
      </c>
      <c r="L34" s="77">
        <f t="shared" ca="1" si="17"/>
        <v>0.61164665426461473</v>
      </c>
      <c r="M34" s="77">
        <f t="shared" ca="1" si="17"/>
        <v>0.60905183991404777</v>
      </c>
      <c r="N34" s="77">
        <f t="shared" ca="1" si="17"/>
        <v>0.61031606336573052</v>
      </c>
      <c r="O34" s="77">
        <f t="shared" ca="1" si="17"/>
        <v>0.61145924414650743</v>
      </c>
      <c r="P34" s="77">
        <f t="shared" ca="1" si="17"/>
        <v>0.60940454776071218</v>
      </c>
      <c r="Q34" s="77">
        <f t="shared" ca="1" si="17"/>
        <v>0.61048243001786784</v>
      </c>
      <c r="R34" s="77">
        <f t="shared" ca="1" si="17"/>
        <v>0.60865265239989064</v>
      </c>
      <c r="S34" s="14">
        <f t="shared" ref="S34:X34" ca="1" si="18">R34</f>
        <v>0.60865265239989064</v>
      </c>
      <c r="T34" s="14">
        <f t="shared" ca="1" si="18"/>
        <v>0.60865265239989064</v>
      </c>
      <c r="U34" s="14">
        <f t="shared" ca="1" si="18"/>
        <v>0.60865265239989064</v>
      </c>
      <c r="V34" s="14">
        <f t="shared" ca="1" si="18"/>
        <v>0.60865265239989064</v>
      </c>
      <c r="W34" s="14">
        <f t="shared" ca="1" si="18"/>
        <v>0.60865265239989064</v>
      </c>
      <c r="X34" s="14">
        <f t="shared" ca="1" si="18"/>
        <v>0.60865265239989064</v>
      </c>
    </row>
    <row r="35" spans="1:24" ht="15" x14ac:dyDescent="0.25">
      <c r="A35" s="1" t="s">
        <v>8</v>
      </c>
      <c r="C35" s="15"/>
      <c r="D35" s="15">
        <f t="shared" ref="D35:X35" ca="1" si="19">D33/C33-1</f>
        <v>0</v>
      </c>
      <c r="E35" s="15">
        <f t="shared" ca="1" si="19"/>
        <v>0.31578947368421062</v>
      </c>
      <c r="F35" s="15">
        <f t="shared" ca="1" si="19"/>
        <v>0.35999999999999965</v>
      </c>
      <c r="G35" s="15">
        <f t="shared" ca="1" si="19"/>
        <v>0.33823529411764741</v>
      </c>
      <c r="H35" s="15">
        <f t="shared" ca="1" si="19"/>
        <v>0.20879120879120872</v>
      </c>
      <c r="I35" s="15">
        <f t="shared" ca="1" si="19"/>
        <v>0.21818181818181803</v>
      </c>
      <c r="J35" s="15">
        <f t="shared" ca="1" si="19"/>
        <v>0.10447761194029881</v>
      </c>
      <c r="K35" s="15">
        <f t="shared" ca="1" si="19"/>
        <v>4.7297297297297591E-2</v>
      </c>
      <c r="L35" s="15">
        <f t="shared" ca="1" si="19"/>
        <v>4.5161290322580649E-2</v>
      </c>
      <c r="M35" s="15">
        <f t="shared" ca="1" si="19"/>
        <v>4.9382716049382935E-2</v>
      </c>
      <c r="N35" s="15">
        <f t="shared" ca="1" si="19"/>
        <v>5.2941176470588047E-2</v>
      </c>
      <c r="O35" s="15">
        <f t="shared" ca="1" si="19"/>
        <v>5.027932960893855E-2</v>
      </c>
      <c r="P35" s="15">
        <f t="shared" ca="1" si="19"/>
        <v>5.3191489361702038E-2</v>
      </c>
      <c r="Q35" s="15">
        <f t="shared" ca="1" si="19"/>
        <v>4.5454545454545414E-2</v>
      </c>
      <c r="R35" s="15">
        <f t="shared" ca="1" si="19"/>
        <v>4.8309178743961567E-2</v>
      </c>
      <c r="S35" s="15">
        <f t="shared" ca="1" si="19"/>
        <v>3.3260781124338834E-2</v>
      </c>
      <c r="T35" s="15">
        <f t="shared" ca="1" si="19"/>
        <v>3.3260781124338834E-2</v>
      </c>
      <c r="U35" s="15">
        <f t="shared" ca="1" si="19"/>
        <v>3.3260781124339056E-2</v>
      </c>
      <c r="V35" s="15">
        <f t="shared" ca="1" si="19"/>
        <v>3.3260781124338834E-2</v>
      </c>
      <c r="W35" s="15">
        <f t="shared" ca="1" si="19"/>
        <v>3.3260781124338834E-2</v>
      </c>
      <c r="X35" s="15">
        <f t="shared" ca="1" si="19"/>
        <v>3.3260781124338612E-2</v>
      </c>
    </row>
    <row r="36" spans="1:24" ht="15" x14ac:dyDescent="0.25">
      <c r="A36" s="1" t="s">
        <v>93</v>
      </c>
      <c r="B36" s="2" t="s">
        <v>9</v>
      </c>
      <c r="C36" s="24" t="e">
        <v>#N/A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 t="e">
        <f ca="1">MAX(0,C33-C36)</f>
        <v>#N/A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73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162</v>
      </c>
      <c r="D41" s="74">
        <f ca="1">VALUE(OFFSET(SourceData!$A$4,$B$40+D$2-2011,SourceData!$D$1+General!$B$1))</f>
        <v>202</v>
      </c>
      <c r="E41" s="74">
        <f ca="1">VALUE(OFFSET(SourceData!$A$4,$B$40+E$2-2011,SourceData!$D$1+General!$B$1))</f>
        <v>267</v>
      </c>
      <c r="F41" s="74">
        <f ca="1">VALUE(OFFSET(SourceData!$A$4,$B$40+F$2-2011,SourceData!$D$1+General!$B$1))</f>
        <v>363</v>
      </c>
      <c r="G41" s="74">
        <f ca="1">VALUE(OFFSET(SourceData!$A$4,$B$40+G$2-2011,SourceData!$D$1+General!$B$1))</f>
        <v>486</v>
      </c>
      <c r="H41" s="74">
        <f ca="1">VALUE(OFFSET(SourceData!$A$4,$B$40+H$2-2011,SourceData!$D$1+General!$B$1))</f>
        <v>587</v>
      </c>
      <c r="I41" s="74">
        <f ca="1">VALUE(OFFSET(SourceData!$A$4,$B$40+I$2-2011,SourceData!$D$1+General!$B$1))</f>
        <v>715</v>
      </c>
      <c r="J41" s="74">
        <f ca="1">VALUE(OFFSET(SourceData!$A$4,$B$40+J$2-2011,SourceData!$D$1+General!$B$1))</f>
        <v>789</v>
      </c>
      <c r="K41" s="74">
        <f ca="1">VALUE(OFFSET(SourceData!$A$4,$B$40+K$2-2011,SourceData!$D$1+General!$B$1))</f>
        <v>828</v>
      </c>
      <c r="L41" s="74">
        <f ca="1">VALUE(OFFSET(SourceData!$A$4,$B$40+L$2-2011,SourceData!$D$1+General!$B$1))</f>
        <v>868</v>
      </c>
      <c r="M41" s="74">
        <f ca="1">VALUE(OFFSET(SourceData!$A$4,$B$40+M$2-2011,SourceData!$D$1+General!$B$1))</f>
        <v>907</v>
      </c>
      <c r="N41" s="74">
        <f ca="1">VALUE(OFFSET(SourceData!$A$4,$B$40+N$2-2011,SourceData!$D$1+General!$B$1))</f>
        <v>957</v>
      </c>
      <c r="O41" s="74">
        <f ca="1">VALUE(OFFSET(SourceData!$A$4,$B$40+O$2-2011,SourceData!$D$1+General!$B$1))</f>
        <v>1007</v>
      </c>
      <c r="P41" s="74">
        <f ca="1">VALUE(OFFSET(SourceData!$A$4,$B$40+P$2-2011,SourceData!$D$1+General!$B$1))</f>
        <v>1057</v>
      </c>
      <c r="Q41" s="74">
        <f ca="1">VALUE(OFFSET(SourceData!$A$4,$B$40+Q$2-2011,SourceData!$D$1+General!$B$1))</f>
        <v>1107</v>
      </c>
      <c r="R41" s="74">
        <f ca="1">VALUE(OFFSET(SourceData!$A$4,$B$40+R$2-2011,SourceData!$D$1+General!$B$1))</f>
        <v>1157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0.24691358024691357</v>
      </c>
      <c r="E42" s="21">
        <f t="shared" ref="E42:R42" ca="1" si="20">E41/D41-1</f>
        <v>0.32178217821782185</v>
      </c>
      <c r="F42" s="21">
        <f t="shared" ca="1" si="20"/>
        <v>0.3595505617977528</v>
      </c>
      <c r="G42" s="21">
        <f t="shared" ca="1" si="20"/>
        <v>0.33884297520661155</v>
      </c>
      <c r="H42" s="21">
        <f t="shared" ca="1" si="20"/>
        <v>0.20781893004115237</v>
      </c>
      <c r="I42" s="21">
        <f t="shared" ca="1" si="20"/>
        <v>0.21805792163543436</v>
      </c>
      <c r="J42" s="21">
        <f t="shared" ca="1" si="20"/>
        <v>0.10349650349650341</v>
      </c>
      <c r="K42" s="21">
        <f t="shared" ca="1" si="20"/>
        <v>4.9429657794676896E-2</v>
      </c>
      <c r="L42" s="21">
        <f t="shared" ca="1" si="20"/>
        <v>4.8309178743961345E-2</v>
      </c>
      <c r="M42" s="21">
        <f t="shared" ca="1" si="20"/>
        <v>4.4930875576036922E-2</v>
      </c>
      <c r="N42" s="21">
        <f t="shared" ca="1" si="20"/>
        <v>5.5126791620727644E-2</v>
      </c>
      <c r="O42" s="21">
        <f t="shared" ca="1" si="20"/>
        <v>5.2246603970741878E-2</v>
      </c>
      <c r="P42" s="21">
        <f t="shared" ca="1" si="20"/>
        <v>4.9652432969215399E-2</v>
      </c>
      <c r="Q42" s="21">
        <f t="shared" ca="1" si="20"/>
        <v>4.7303689687795636E-2</v>
      </c>
      <c r="R42" s="21">
        <f t="shared" ca="1" si="20"/>
        <v>4.5167118337850143E-2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38</v>
      </c>
      <c r="D44" s="74">
        <f ca="1">VALUE(OFFSET(SourceData!$A$4,$B$40+D$2-2011,SourceData!$J$1+General!$B$1))</f>
        <v>38</v>
      </c>
      <c r="E44" s="74">
        <f ca="1">VALUE(OFFSET(SourceData!$A$4,$B$40+E$2-2011,SourceData!$J$1+General!$B$1))</f>
        <v>50</v>
      </c>
      <c r="F44" s="74">
        <f ca="1">VALUE(OFFSET(SourceData!$A$4,$B$40+F$2-2011,SourceData!$J$1+General!$B$1))</f>
        <v>68</v>
      </c>
      <c r="G44" s="74">
        <f ca="1">VALUE(OFFSET(SourceData!$A$4,$B$40+G$2-2011,SourceData!$J$1+General!$B$1))</f>
        <v>91</v>
      </c>
      <c r="H44" s="74">
        <f ca="1">VALUE(OFFSET(SourceData!$A$4,$B$40+H$2-2011,SourceData!$J$1+General!$B$1))</f>
        <v>110</v>
      </c>
      <c r="I44" s="74">
        <f ca="1">VALUE(OFFSET(SourceData!$A$4,$B$40+I$2-2011,SourceData!$J$1+General!$B$1))</f>
        <v>134</v>
      </c>
      <c r="J44" s="74">
        <f ca="1">VALUE(OFFSET(SourceData!$A$4,$B$40+J$2-2011,SourceData!$J$1+General!$B$1))</f>
        <v>148</v>
      </c>
      <c r="K44" s="74">
        <f ca="1">VALUE(OFFSET(SourceData!$A$4,$B$40+K$2-2011,SourceData!$J$1+General!$B$1))</f>
        <v>155</v>
      </c>
      <c r="L44" s="74">
        <f ca="1">VALUE(OFFSET(SourceData!$A$4,$B$40+L$2-2011,SourceData!$J$1+General!$B$1))</f>
        <v>162</v>
      </c>
      <c r="M44" s="74">
        <f ca="1">VALUE(OFFSET(SourceData!$A$4,$B$40+M$2-2011,SourceData!$J$1+General!$B$1))</f>
        <v>170</v>
      </c>
      <c r="N44" s="74">
        <f ca="1">VALUE(OFFSET(SourceData!$A$4,$B$40+N$2-2011,SourceData!$J$1+General!$B$1))</f>
        <v>179</v>
      </c>
      <c r="O44" s="74">
        <f ca="1">VALUE(OFFSET(SourceData!$A$4,$B$40+O$2-2011,SourceData!$J$1+General!$B$1))</f>
        <v>188</v>
      </c>
      <c r="P44" s="74">
        <f ca="1">VALUE(OFFSET(SourceData!$A$4,$B$40+P$2-2011,SourceData!$J$1+General!$B$1))</f>
        <v>198</v>
      </c>
      <c r="Q44" s="74">
        <f ca="1">VALUE(OFFSET(SourceData!$A$4,$B$40+Q$2-2011,SourceData!$J$1+General!$B$1))</f>
        <v>207</v>
      </c>
      <c r="R44" s="74">
        <f ca="1">VALUE(OFFSET(SourceData!$A$4,$B$40+R$2-2011,SourceData!$J$1+General!$B$1))</f>
        <v>217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21">E44/D44-1</f>
        <v>0.31578947368421062</v>
      </c>
      <c r="F45" s="17">
        <f t="shared" ca="1" si="21"/>
        <v>0.3600000000000001</v>
      </c>
      <c r="G45" s="17">
        <f t="shared" ca="1" si="21"/>
        <v>0.33823529411764697</v>
      </c>
      <c r="H45" s="17">
        <f t="shared" ca="1" si="21"/>
        <v>0.20879120879120872</v>
      </c>
      <c r="I45" s="17">
        <f t="shared" ca="1" si="21"/>
        <v>0.21818181818181825</v>
      </c>
      <c r="J45" s="17">
        <f t="shared" ca="1" si="21"/>
        <v>0.10447761194029859</v>
      </c>
      <c r="K45" s="17">
        <f t="shared" ca="1" si="21"/>
        <v>4.7297297297297369E-2</v>
      </c>
      <c r="L45" s="17">
        <f t="shared" ca="1" si="21"/>
        <v>4.5161290322580649E-2</v>
      </c>
      <c r="M45" s="17">
        <f t="shared" ca="1" si="21"/>
        <v>4.9382716049382713E-2</v>
      </c>
      <c r="N45" s="17">
        <f t="shared" ca="1" si="21"/>
        <v>5.2941176470588269E-2</v>
      </c>
      <c r="O45" s="17">
        <f t="shared" ca="1" si="21"/>
        <v>5.027932960893855E-2</v>
      </c>
      <c r="P45" s="17">
        <f t="shared" ca="1" si="21"/>
        <v>5.3191489361702038E-2</v>
      </c>
      <c r="Q45" s="17">
        <f t="shared" ca="1" si="21"/>
        <v>4.5454545454545414E-2</v>
      </c>
      <c r="R45" s="17">
        <f t="shared" ca="1" si="21"/>
        <v>4.8309178743961345E-2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showDropDown="1" showInputMessage="1" showErrorMessage="1" sqref="B40"/>
    <dataValidation type="list" allowBlank="1" showInputMessage="1" showErrorMessage="1" sqref="B19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8" sqref="C8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76</v>
      </c>
      <c r="B2" s="26" t="str">
        <f>VLOOKUP(A2,General!$A$9:$B$23,2,FALSE)</f>
        <v>LIB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0.38235294117647056</v>
      </c>
      <c r="E4" s="27">
        <f t="shared" ref="E4:R4" ca="1" si="1">E42</f>
        <v>1.2340425531914891</v>
      </c>
      <c r="F4" s="27">
        <f t="shared" ca="1" si="1"/>
        <v>0.55238095238095242</v>
      </c>
      <c r="G4" s="27">
        <f t="shared" ca="1" si="1"/>
        <v>0.38650306748466257</v>
      </c>
      <c r="H4" s="27">
        <f t="shared" ca="1" si="1"/>
        <v>0.16371681415929196</v>
      </c>
      <c r="I4" s="27">
        <f t="shared" ca="1" si="1"/>
        <v>6.083650190114076E-2</v>
      </c>
      <c r="J4" s="27">
        <f t="shared" ca="1" si="1"/>
        <v>6.0931899641577081E-2</v>
      </c>
      <c r="K4" s="27">
        <f t="shared" ca="1" si="1"/>
        <v>6.0810810810810745E-2</v>
      </c>
      <c r="L4" s="27">
        <f t="shared" ca="1" si="1"/>
        <v>6.3694267515923553E-2</v>
      </c>
      <c r="M4" s="27">
        <f t="shared" ca="1" si="1"/>
        <v>6.2874251497005984E-2</v>
      </c>
      <c r="N4" s="27">
        <f t="shared" ca="1" si="1"/>
        <v>6.4788732394366111E-2</v>
      </c>
      <c r="O4" s="27">
        <f t="shared" ca="1" si="1"/>
        <v>6.3492063492063489E-2</v>
      </c>
      <c r="P4" s="27">
        <f t="shared" ca="1" si="1"/>
        <v>6.4676616915422924E-2</v>
      </c>
      <c r="Q4" s="27">
        <f t="shared" ca="1" si="1"/>
        <v>6.308411214953269E-2</v>
      </c>
      <c r="R4" s="27">
        <f t="shared" ca="1" si="1"/>
        <v>6.3736263736263732E-2</v>
      </c>
      <c r="S4" s="17">
        <f ca="1">$W$4</f>
        <v>6.1011271396262279E-2</v>
      </c>
      <c r="T4" s="17">
        <f t="shared" ref="T4:V4" ca="1" si="2">$W$4</f>
        <v>6.1011271396262279E-2</v>
      </c>
      <c r="U4" s="17">
        <f t="shared" ca="1" si="2"/>
        <v>6.1011271396262279E-2</v>
      </c>
      <c r="V4" s="17">
        <f t="shared" ca="1" si="2"/>
        <v>6.1011271396262279E-2</v>
      </c>
      <c r="W4" s="17">
        <f ca="1">SUMIF(SourceData!$AO$3:$BA$3,$B$2,SourceData!$AO$25:$BA$25)</f>
        <v>6.1011271396262279E-2</v>
      </c>
      <c r="X4" s="73">
        <f ca="1">W4</f>
        <v>6.1011271396262279E-2</v>
      </c>
      <c r="Y4" s="17">
        <f ca="1">SUMIF(SourceData!$AO$3:$BA$3,$B$2,SourceData!$AO$27:$BA$27)</f>
        <v>6.1011271396262279E-2</v>
      </c>
      <c r="Z4" s="17">
        <f ca="1">SUMIF(SourceData!$AO$3:$BA$3,$B$2,SourceData!$AO$28:$BA$28)</f>
        <v>6.1011271396262279E-2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28.9</v>
      </c>
      <c r="D5" s="7">
        <f t="shared" ref="D5:X5" ca="1" si="3">C5*(1+D4)</f>
        <v>39.949999999999996</v>
      </c>
      <c r="E5" s="7">
        <f t="shared" ca="1" si="3"/>
        <v>89.249999999999986</v>
      </c>
      <c r="F5" s="7">
        <f t="shared" ca="1" si="3"/>
        <v>138.54999999999998</v>
      </c>
      <c r="G5" s="7">
        <f t="shared" ca="1" si="3"/>
        <v>192.09999999999997</v>
      </c>
      <c r="H5" s="7">
        <f t="shared" ca="1" si="3"/>
        <v>223.54999999999995</v>
      </c>
      <c r="I5" s="7">
        <f t="shared" ca="1" si="3"/>
        <v>237.14999999999998</v>
      </c>
      <c r="J5" s="7">
        <f t="shared" ca="1" si="3"/>
        <v>251.6</v>
      </c>
      <c r="K5" s="7">
        <f t="shared" ca="1" si="3"/>
        <v>266.89999999999998</v>
      </c>
      <c r="L5" s="7">
        <f t="shared" ca="1" si="3"/>
        <v>283.89999999999998</v>
      </c>
      <c r="M5" s="7">
        <f t="shared" ca="1" si="3"/>
        <v>301.75</v>
      </c>
      <c r="N5" s="7">
        <f t="shared" ca="1" si="3"/>
        <v>321.29999999999995</v>
      </c>
      <c r="O5" s="7">
        <f t="shared" ca="1" si="3"/>
        <v>341.69999999999993</v>
      </c>
      <c r="P5" s="7">
        <f t="shared" ca="1" si="3"/>
        <v>363.79999999999995</v>
      </c>
      <c r="Q5" s="7">
        <f t="shared" ca="1" si="3"/>
        <v>386.74999999999994</v>
      </c>
      <c r="R5" s="7">
        <f t="shared" ca="1" si="3"/>
        <v>411.39999999999992</v>
      </c>
      <c r="S5" s="7">
        <f t="shared" ca="1" si="3"/>
        <v>436.50003705242221</v>
      </c>
      <c r="T5" s="7">
        <f t="shared" ca="1" si="3"/>
        <v>463.13145927750611</v>
      </c>
      <c r="U5" s="7">
        <f t="shared" ca="1" si="3"/>
        <v>491.38769843163305</v>
      </c>
      <c r="V5" s="7">
        <f t="shared" ca="1" si="3"/>
        <v>521.36788666143013</v>
      </c>
      <c r="W5" s="7">
        <f t="shared" ca="1" si="3"/>
        <v>553.17720429182634</v>
      </c>
      <c r="X5" s="7">
        <f t="shared" ca="1" si="3"/>
        <v>586.92724883310063</v>
      </c>
      <c r="Y5" s="7">
        <f ca="1">W5*(1+Y4)^(Y2-W2)</f>
        <v>1000.1479533718043</v>
      </c>
      <c r="Z5" s="7">
        <f t="shared" ref="Z5:AA5" ca="1" si="4">Y5*(1+Z4)^(Z2-Y2)</f>
        <v>1808.2739506852615</v>
      </c>
      <c r="AA5" s="7">
        <f t="shared" ca="1" si="4"/>
        <v>1808.2739506852615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28.9</v>
      </c>
      <c r="D8" s="8">
        <f t="shared" ca="1" si="6"/>
        <v>39.949999999999996</v>
      </c>
      <c r="E8" s="8">
        <f t="shared" ca="1" si="6"/>
        <v>89.249999999999986</v>
      </c>
      <c r="F8" s="8">
        <f t="shared" ca="1" si="6"/>
        <v>138.54999999999998</v>
      </c>
      <c r="G8" s="8">
        <f t="shared" ca="1" si="6"/>
        <v>192.09999999999997</v>
      </c>
      <c r="H8" s="8">
        <f t="shared" ca="1" si="6"/>
        <v>223.54999999999995</v>
      </c>
      <c r="I8" s="8">
        <f t="shared" ca="1" si="6"/>
        <v>237.14999999999998</v>
      </c>
      <c r="J8" s="8">
        <f t="shared" ca="1" si="6"/>
        <v>251.6</v>
      </c>
      <c r="K8" s="8">
        <f t="shared" ca="1" si="6"/>
        <v>266.89999999999998</v>
      </c>
      <c r="L8" s="8">
        <f t="shared" ca="1" si="6"/>
        <v>283.89999999999998</v>
      </c>
      <c r="M8" s="8">
        <f t="shared" ca="1" si="6"/>
        <v>301.75</v>
      </c>
      <c r="N8" s="8">
        <f t="shared" ca="1" si="6"/>
        <v>321.29999999999995</v>
      </c>
      <c r="O8" s="8">
        <f t="shared" ca="1" si="6"/>
        <v>341.69999999999993</v>
      </c>
      <c r="P8" s="8">
        <f t="shared" ca="1" si="6"/>
        <v>363.79999999999995</v>
      </c>
      <c r="Q8" s="8">
        <f t="shared" ca="1" si="6"/>
        <v>386.74999999999994</v>
      </c>
      <c r="R8" s="8">
        <f t="shared" ca="1" si="6"/>
        <v>411.39999999999992</v>
      </c>
      <c r="S8" s="8">
        <f t="shared" ca="1" si="6"/>
        <v>436.50003705242221</v>
      </c>
      <c r="T8" s="8">
        <f t="shared" ca="1" si="6"/>
        <v>463.13145927750611</v>
      </c>
      <c r="U8" s="8">
        <f t="shared" ca="1" si="6"/>
        <v>491.38769843163305</v>
      </c>
      <c r="V8" s="8">
        <f t="shared" ca="1" si="6"/>
        <v>521.36788666143013</v>
      </c>
      <c r="W8" s="8">
        <f t="shared" ca="1" si="6"/>
        <v>553.17720429182634</v>
      </c>
      <c r="X8" s="8">
        <f t="shared" ca="1" si="6"/>
        <v>586.92724883310063</v>
      </c>
      <c r="Y8" s="8">
        <f t="shared" ca="1" si="6"/>
        <v>1000.1479533718043</v>
      </c>
      <c r="Z8" s="8">
        <f t="shared" ca="1" si="6"/>
        <v>1808.2739506852615</v>
      </c>
      <c r="AA8" s="8">
        <f t="shared" ca="1" si="6"/>
        <v>1808.2739506852615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34</v>
      </c>
      <c r="D11" s="8">
        <f t="shared" ca="1" si="8"/>
        <v>46.999999999999993</v>
      </c>
      <c r="E11" s="8">
        <f t="shared" ca="1" si="8"/>
        <v>104.99999999999999</v>
      </c>
      <c r="F11" s="8">
        <f t="shared" ca="1" si="8"/>
        <v>162.99999999999997</v>
      </c>
      <c r="G11" s="8">
        <f t="shared" ca="1" si="8"/>
        <v>225.99999999999997</v>
      </c>
      <c r="H11" s="8">
        <f t="shared" ca="1" si="8"/>
        <v>262.99999999999994</v>
      </c>
      <c r="I11" s="8">
        <f t="shared" ca="1" si="8"/>
        <v>279</v>
      </c>
      <c r="J11" s="8">
        <f t="shared" ca="1" si="8"/>
        <v>296</v>
      </c>
      <c r="K11" s="8">
        <f t="shared" ca="1" si="8"/>
        <v>314</v>
      </c>
      <c r="L11" s="8">
        <f t="shared" ca="1" si="8"/>
        <v>334</v>
      </c>
      <c r="M11" s="8">
        <f t="shared" ca="1" si="8"/>
        <v>355</v>
      </c>
      <c r="N11" s="8">
        <f t="shared" ca="1" si="8"/>
        <v>377.99999999999994</v>
      </c>
      <c r="O11" s="8">
        <f t="shared" ca="1" si="8"/>
        <v>401.99999999999994</v>
      </c>
      <c r="P11" s="8">
        <f t="shared" ca="1" si="8"/>
        <v>427.99999999999994</v>
      </c>
      <c r="Q11" s="8">
        <f t="shared" ca="1" si="8"/>
        <v>454.99999999999994</v>
      </c>
      <c r="R11" s="8">
        <f t="shared" ca="1" si="8"/>
        <v>483.99999999999994</v>
      </c>
      <c r="S11" s="8">
        <f t="shared" ca="1" si="8"/>
        <v>513.5294553557909</v>
      </c>
      <c r="T11" s="8">
        <f t="shared" ca="1" si="8"/>
        <v>544.8605403264778</v>
      </c>
      <c r="U11" s="8">
        <f t="shared" ca="1" si="8"/>
        <v>578.10317462545072</v>
      </c>
      <c r="V11" s="8">
        <f t="shared" ca="1" si="8"/>
        <v>613.37398430756491</v>
      </c>
      <c r="W11" s="8">
        <f t="shared" ca="1" si="8"/>
        <v>650.79671093156037</v>
      </c>
      <c r="X11" s="8">
        <f t="shared" ca="1" si="8"/>
        <v>690.50264568600073</v>
      </c>
      <c r="Y11" s="8">
        <f t="shared" ca="1" si="8"/>
        <v>1176.6446510256521</v>
      </c>
      <c r="Z11" s="8">
        <f t="shared" ca="1" si="8"/>
        <v>2127.3811184532487</v>
      </c>
      <c r="AA11" s="8">
        <f t="shared" ca="1" si="8"/>
        <v>2127.3811184532487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34</v>
      </c>
      <c r="D20" s="39">
        <f t="shared" ca="1" si="13"/>
        <v>46.999999999999993</v>
      </c>
      <c r="E20" s="39">
        <f t="shared" ca="1" si="13"/>
        <v>104.99999999999999</v>
      </c>
      <c r="F20" s="39">
        <f t="shared" ca="1" si="13"/>
        <v>162.99999999999997</v>
      </c>
      <c r="G20" s="39">
        <f t="shared" ca="1" si="13"/>
        <v>225.99999999999997</v>
      </c>
      <c r="H20" s="39">
        <f t="shared" ca="1" si="13"/>
        <v>262.99999999999994</v>
      </c>
      <c r="I20" s="39">
        <f t="shared" ca="1" si="13"/>
        <v>279</v>
      </c>
      <c r="J20" s="39">
        <f t="shared" ca="1" si="13"/>
        <v>296</v>
      </c>
      <c r="K20" s="39">
        <f t="shared" ca="1" si="13"/>
        <v>314</v>
      </c>
      <c r="L20" s="39">
        <f t="shared" ca="1" si="13"/>
        <v>334</v>
      </c>
      <c r="M20" s="39">
        <f t="shared" ca="1" si="13"/>
        <v>355</v>
      </c>
      <c r="N20" s="39">
        <f t="shared" ca="1" si="13"/>
        <v>377.99999999999994</v>
      </c>
      <c r="O20" s="39">
        <f t="shared" ca="1" si="13"/>
        <v>401.99999999999994</v>
      </c>
      <c r="P20" s="39">
        <f t="shared" ca="1" si="13"/>
        <v>427.99999999999994</v>
      </c>
      <c r="Q20" s="39">
        <f t="shared" ca="1" si="13"/>
        <v>454.99999999999994</v>
      </c>
      <c r="R20" s="39">
        <f t="shared" ca="1" si="13"/>
        <v>483.99999999999994</v>
      </c>
      <c r="S20" s="39">
        <f t="shared" ca="1" si="13"/>
        <v>513.5294553557909</v>
      </c>
      <c r="T20" s="39">
        <f t="shared" ca="1" si="13"/>
        <v>544.8605403264778</v>
      </c>
      <c r="U20" s="39">
        <f t="shared" ca="1" si="13"/>
        <v>578.10317462545072</v>
      </c>
      <c r="V20" s="39">
        <f t="shared" ca="1" si="13"/>
        <v>613.37398430756491</v>
      </c>
      <c r="W20" s="39">
        <f t="shared" ca="1" si="13"/>
        <v>650.79671093156037</v>
      </c>
      <c r="X20" s="39">
        <f t="shared" ca="1" si="13"/>
        <v>690.50264568600073</v>
      </c>
      <c r="Y20" s="39">
        <f t="shared" ca="1" si="13"/>
        <v>1176.6446510256521</v>
      </c>
      <c r="Z20" s="39">
        <f t="shared" ca="1" si="13"/>
        <v>2127.3811184532487</v>
      </c>
      <c r="AA20" s="39">
        <f t="shared" ca="1" si="13"/>
        <v>2127.3811184532487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9</v>
      </c>
      <c r="D33" s="23">
        <f ca="1">D20/(D34*8.76)</f>
        <v>8.9999999999999982</v>
      </c>
      <c r="E33" s="23">
        <f ca="1">E20/(E34*8.76)</f>
        <v>19.999999999999996</v>
      </c>
      <c r="F33" s="23">
        <f t="shared" ref="F33:X33" ca="1" si="14">F20/(F34*8.76)</f>
        <v>30.999999999999996</v>
      </c>
      <c r="G33" s="23">
        <f t="shared" ca="1" si="14"/>
        <v>43</v>
      </c>
      <c r="H33" s="23">
        <f t="shared" ca="1" si="14"/>
        <v>49.999999999999993</v>
      </c>
      <c r="I33" s="23">
        <f t="shared" ca="1" si="14"/>
        <v>52.999999999999993</v>
      </c>
      <c r="J33" s="23">
        <f t="shared" ca="1" si="14"/>
        <v>56</v>
      </c>
      <c r="K33" s="23">
        <f t="shared" ca="1" si="14"/>
        <v>60</v>
      </c>
      <c r="L33" s="23">
        <f t="shared" ca="1" si="14"/>
        <v>63</v>
      </c>
      <c r="M33" s="23">
        <f t="shared" ca="1" si="14"/>
        <v>68</v>
      </c>
      <c r="N33" s="23">
        <f t="shared" ca="1" si="14"/>
        <v>72</v>
      </c>
      <c r="O33" s="23">
        <f t="shared" ca="1" si="14"/>
        <v>76.999999999999986</v>
      </c>
      <c r="P33" s="23">
        <f t="shared" ca="1" si="14"/>
        <v>81.999999999999986</v>
      </c>
      <c r="Q33" s="23">
        <f t="shared" ca="1" si="14"/>
        <v>86.999999999999986</v>
      </c>
      <c r="R33" s="23">
        <f t="shared" ca="1" si="14"/>
        <v>92.999999999999972</v>
      </c>
      <c r="S33" s="23">
        <f t="shared" ca="1" si="14"/>
        <v>98.674048239852368</v>
      </c>
      <c r="T33" s="23">
        <f t="shared" ca="1" si="14"/>
        <v>104.69427737678188</v>
      </c>
      <c r="U33" s="23">
        <f t="shared" ca="1" si="14"/>
        <v>111.0818083474523</v>
      </c>
      <c r="V33" s="23">
        <f t="shared" ca="1" si="14"/>
        <v>117.8590507037263</v>
      </c>
      <c r="W33" s="23">
        <f t="shared" ca="1" si="14"/>
        <v>125.04978123271717</v>
      </c>
      <c r="X33" s="23">
        <f t="shared" ca="1" si="14"/>
        <v>132.67922737354971</v>
      </c>
    </row>
    <row r="34" spans="1:24" ht="15" x14ac:dyDescent="0.25">
      <c r="A34" s="1" t="s">
        <v>7</v>
      </c>
      <c r="C34" s="77">
        <f ca="1">C41/(C44*8.76)</f>
        <v>0.43125317097919835</v>
      </c>
      <c r="D34" s="77">
        <f ca="1">D41/(D44*8.76)</f>
        <v>0.59614408929477425</v>
      </c>
      <c r="E34" s="77">
        <f t="shared" ref="E34:R34" ca="1" si="15">E41/(E44*8.76)</f>
        <v>0.59931506849315075</v>
      </c>
      <c r="F34" s="77">
        <f t="shared" ca="1" si="15"/>
        <v>0.60023567535719546</v>
      </c>
      <c r="G34" s="77">
        <f t="shared" ca="1" si="15"/>
        <v>0.5999787618137411</v>
      </c>
      <c r="H34" s="77">
        <f t="shared" ca="1" si="15"/>
        <v>0.6004566210045662</v>
      </c>
      <c r="I34" s="77">
        <f t="shared" ca="1" si="15"/>
        <v>0.60093047299043689</v>
      </c>
      <c r="J34" s="77">
        <f t="shared" ca="1" si="15"/>
        <v>0.60339204174820615</v>
      </c>
      <c r="K34" s="77">
        <f t="shared" ca="1" si="15"/>
        <v>0.5974124809741248</v>
      </c>
      <c r="L34" s="77">
        <f t="shared" ca="1" si="15"/>
        <v>0.60520402986156407</v>
      </c>
      <c r="M34" s="77">
        <f t="shared" ca="1" si="15"/>
        <v>0.59595756110663445</v>
      </c>
      <c r="N34" s="77">
        <f t="shared" ca="1" si="15"/>
        <v>0.59931506849315064</v>
      </c>
      <c r="O34" s="77">
        <f t="shared" ca="1" si="15"/>
        <v>0.59597936310265076</v>
      </c>
      <c r="P34" s="77">
        <f t="shared" ca="1" si="15"/>
        <v>0.59583472547054239</v>
      </c>
      <c r="Q34" s="77">
        <f t="shared" ca="1" si="15"/>
        <v>0.59701884217708501</v>
      </c>
      <c r="R34" s="77">
        <f t="shared" ca="1" si="15"/>
        <v>0.5940982962635637</v>
      </c>
      <c r="S34" s="14">
        <f t="shared" ref="S34:X34" ca="1" si="16">R34</f>
        <v>0.5940982962635637</v>
      </c>
      <c r="T34" s="14">
        <f t="shared" ca="1" si="16"/>
        <v>0.5940982962635637</v>
      </c>
      <c r="U34" s="14">
        <f t="shared" ca="1" si="16"/>
        <v>0.5940982962635637</v>
      </c>
      <c r="V34" s="14">
        <f t="shared" ca="1" si="16"/>
        <v>0.5940982962635637</v>
      </c>
      <c r="W34" s="14">
        <f t="shared" ca="1" si="16"/>
        <v>0.5940982962635637</v>
      </c>
      <c r="X34" s="14">
        <f t="shared" ca="1" si="16"/>
        <v>0.5940982962635637</v>
      </c>
    </row>
    <row r="35" spans="1:24" ht="15" x14ac:dyDescent="0.25">
      <c r="A35" s="1" t="s">
        <v>8</v>
      </c>
      <c r="C35" s="15"/>
      <c r="D35" s="15">
        <f t="shared" ref="D35:X35" ca="1" si="17">D33/C33-1</f>
        <v>0</v>
      </c>
      <c r="E35" s="15">
        <f t="shared" ca="1" si="17"/>
        <v>1.2222222222222223</v>
      </c>
      <c r="F35" s="15">
        <f t="shared" ca="1" si="17"/>
        <v>0.55000000000000004</v>
      </c>
      <c r="G35" s="15">
        <f t="shared" ca="1" si="17"/>
        <v>0.38709677419354849</v>
      </c>
      <c r="H35" s="15">
        <f t="shared" ca="1" si="17"/>
        <v>0.16279069767441845</v>
      </c>
      <c r="I35" s="15">
        <f t="shared" ca="1" si="17"/>
        <v>6.0000000000000053E-2</v>
      </c>
      <c r="J35" s="15">
        <f t="shared" ca="1" si="17"/>
        <v>5.660377358490587E-2</v>
      </c>
      <c r="K35" s="15">
        <f t="shared" ca="1" si="17"/>
        <v>7.1428571428571397E-2</v>
      </c>
      <c r="L35" s="15">
        <f t="shared" ca="1" si="17"/>
        <v>5.0000000000000044E-2</v>
      </c>
      <c r="M35" s="15">
        <f t="shared" ca="1" si="17"/>
        <v>7.9365079365079305E-2</v>
      </c>
      <c r="N35" s="15">
        <f t="shared" ca="1" si="17"/>
        <v>5.8823529411764719E-2</v>
      </c>
      <c r="O35" s="15">
        <f t="shared" ca="1" si="17"/>
        <v>6.9444444444444198E-2</v>
      </c>
      <c r="P35" s="15">
        <f t="shared" ca="1" si="17"/>
        <v>6.4935064935064846E-2</v>
      </c>
      <c r="Q35" s="15">
        <f t="shared" ca="1" si="17"/>
        <v>6.0975609756097615E-2</v>
      </c>
      <c r="R35" s="15">
        <f t="shared" ca="1" si="17"/>
        <v>6.8965517241379226E-2</v>
      </c>
      <c r="S35" s="15">
        <f t="shared" ca="1" si="17"/>
        <v>6.1011271396262279E-2</v>
      </c>
      <c r="T35" s="15">
        <f t="shared" ca="1" si="17"/>
        <v>6.1011271396262279E-2</v>
      </c>
      <c r="U35" s="15">
        <f t="shared" ca="1" si="17"/>
        <v>6.1011271396262279E-2</v>
      </c>
      <c r="V35" s="15">
        <f t="shared" ca="1" si="17"/>
        <v>6.1011271396262279E-2</v>
      </c>
      <c r="W35" s="15">
        <f t="shared" ca="1" si="17"/>
        <v>6.1011271396262279E-2</v>
      </c>
      <c r="X35" s="15">
        <f t="shared" ca="1" si="17"/>
        <v>6.1011271396262279E-2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9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91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34</v>
      </c>
      <c r="D41" s="74">
        <f ca="1">VALUE(OFFSET(SourceData!$A$4,$B$40+D$2-2011,SourceData!$D$1+General!$B$1))</f>
        <v>47</v>
      </c>
      <c r="E41" s="74">
        <f ca="1">VALUE(OFFSET(SourceData!$A$4,$B$40+E$2-2011,SourceData!$D$1+General!$B$1))</f>
        <v>105</v>
      </c>
      <c r="F41" s="74">
        <f ca="1">VALUE(OFFSET(SourceData!$A$4,$B$40+F$2-2011,SourceData!$D$1+General!$B$1))</f>
        <v>163</v>
      </c>
      <c r="G41" s="74">
        <f ca="1">VALUE(OFFSET(SourceData!$A$4,$B$40+G$2-2011,SourceData!$D$1+General!$B$1))</f>
        <v>226</v>
      </c>
      <c r="H41" s="74">
        <f ca="1">VALUE(OFFSET(SourceData!$A$4,$B$40+H$2-2011,SourceData!$D$1+General!$B$1))</f>
        <v>263</v>
      </c>
      <c r="I41" s="74">
        <f ca="1">VALUE(OFFSET(SourceData!$A$4,$B$40+I$2-2011,SourceData!$D$1+General!$B$1))</f>
        <v>279</v>
      </c>
      <c r="J41" s="74">
        <f ca="1">VALUE(OFFSET(SourceData!$A$4,$B$40+J$2-2011,SourceData!$D$1+General!$B$1))</f>
        <v>296</v>
      </c>
      <c r="K41" s="74">
        <f ca="1">VALUE(OFFSET(SourceData!$A$4,$B$40+K$2-2011,SourceData!$D$1+General!$B$1))</f>
        <v>314</v>
      </c>
      <c r="L41" s="74">
        <f ca="1">VALUE(OFFSET(SourceData!$A$4,$B$40+L$2-2011,SourceData!$D$1+General!$B$1))</f>
        <v>334</v>
      </c>
      <c r="M41" s="74">
        <f ca="1">VALUE(OFFSET(SourceData!$A$4,$B$40+M$2-2011,SourceData!$D$1+General!$B$1))</f>
        <v>355</v>
      </c>
      <c r="N41" s="74">
        <f ca="1">VALUE(OFFSET(SourceData!$A$4,$B$40+N$2-2011,SourceData!$D$1+General!$B$1))</f>
        <v>378</v>
      </c>
      <c r="O41" s="74">
        <f ca="1">VALUE(OFFSET(SourceData!$A$4,$B$40+O$2-2011,SourceData!$D$1+General!$B$1))</f>
        <v>402</v>
      </c>
      <c r="P41" s="74">
        <f ca="1">VALUE(OFFSET(SourceData!$A$4,$B$40+P$2-2011,SourceData!$D$1+General!$B$1))</f>
        <v>428</v>
      </c>
      <c r="Q41" s="74">
        <f ca="1">VALUE(OFFSET(SourceData!$A$4,$B$40+Q$2-2011,SourceData!$D$1+General!$B$1))</f>
        <v>455</v>
      </c>
      <c r="R41" s="74">
        <f ca="1">VALUE(OFFSET(SourceData!$A$4,$B$40+R$2-2011,SourceData!$D$1+General!$B$1))</f>
        <v>484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0.38235294117647056</v>
      </c>
      <c r="E42" s="21">
        <f t="shared" ref="E42:R42" ca="1" si="18">E41/D41-1</f>
        <v>1.2340425531914891</v>
      </c>
      <c r="F42" s="21">
        <f t="shared" ca="1" si="18"/>
        <v>0.55238095238095242</v>
      </c>
      <c r="G42" s="21">
        <f t="shared" ca="1" si="18"/>
        <v>0.38650306748466257</v>
      </c>
      <c r="H42" s="21">
        <f t="shared" ca="1" si="18"/>
        <v>0.16371681415929196</v>
      </c>
      <c r="I42" s="21">
        <f t="shared" ca="1" si="18"/>
        <v>6.083650190114076E-2</v>
      </c>
      <c r="J42" s="21">
        <f t="shared" ca="1" si="18"/>
        <v>6.0931899641577081E-2</v>
      </c>
      <c r="K42" s="21">
        <f t="shared" ca="1" si="18"/>
        <v>6.0810810810810745E-2</v>
      </c>
      <c r="L42" s="21">
        <f t="shared" ca="1" si="18"/>
        <v>6.3694267515923553E-2</v>
      </c>
      <c r="M42" s="21">
        <f t="shared" ca="1" si="18"/>
        <v>6.2874251497005984E-2</v>
      </c>
      <c r="N42" s="21">
        <f t="shared" ca="1" si="18"/>
        <v>6.4788732394366111E-2</v>
      </c>
      <c r="O42" s="21">
        <f t="shared" ca="1" si="18"/>
        <v>6.3492063492063489E-2</v>
      </c>
      <c r="P42" s="21">
        <f t="shared" ca="1" si="18"/>
        <v>6.4676616915422924E-2</v>
      </c>
      <c r="Q42" s="21">
        <f t="shared" ca="1" si="18"/>
        <v>6.308411214953269E-2</v>
      </c>
      <c r="R42" s="21">
        <f t="shared" ca="1" si="18"/>
        <v>6.3736263736263732E-2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9</v>
      </c>
      <c r="D44" s="74">
        <f ca="1">VALUE(OFFSET(SourceData!$A$4,$B$40+D$2-2011,SourceData!$J$1+General!$B$1))</f>
        <v>9</v>
      </c>
      <c r="E44" s="74">
        <f ca="1">VALUE(OFFSET(SourceData!$A$4,$B$40+E$2-2011,SourceData!$J$1+General!$B$1))</f>
        <v>20</v>
      </c>
      <c r="F44" s="74">
        <f ca="1">VALUE(OFFSET(SourceData!$A$4,$B$40+F$2-2011,SourceData!$J$1+General!$B$1))</f>
        <v>31</v>
      </c>
      <c r="G44" s="74">
        <f ca="1">VALUE(OFFSET(SourceData!$A$4,$B$40+G$2-2011,SourceData!$J$1+General!$B$1))</f>
        <v>43</v>
      </c>
      <c r="H44" s="74">
        <f ca="1">VALUE(OFFSET(SourceData!$A$4,$B$40+H$2-2011,SourceData!$J$1+General!$B$1))</f>
        <v>50</v>
      </c>
      <c r="I44" s="74">
        <f ca="1">VALUE(OFFSET(SourceData!$A$4,$B$40+I$2-2011,SourceData!$J$1+General!$B$1))</f>
        <v>53</v>
      </c>
      <c r="J44" s="74">
        <f ca="1">VALUE(OFFSET(SourceData!$A$4,$B$40+J$2-2011,SourceData!$J$1+General!$B$1))</f>
        <v>56</v>
      </c>
      <c r="K44" s="74">
        <f ca="1">VALUE(OFFSET(SourceData!$A$4,$B$40+K$2-2011,SourceData!$J$1+General!$B$1))</f>
        <v>60</v>
      </c>
      <c r="L44" s="74">
        <f ca="1">VALUE(OFFSET(SourceData!$A$4,$B$40+L$2-2011,SourceData!$J$1+General!$B$1))</f>
        <v>63</v>
      </c>
      <c r="M44" s="74">
        <f ca="1">VALUE(OFFSET(SourceData!$A$4,$B$40+M$2-2011,SourceData!$J$1+General!$B$1))</f>
        <v>68</v>
      </c>
      <c r="N44" s="74">
        <f ca="1">VALUE(OFFSET(SourceData!$A$4,$B$40+N$2-2011,SourceData!$J$1+General!$B$1))</f>
        <v>72</v>
      </c>
      <c r="O44" s="74">
        <f ca="1">VALUE(OFFSET(SourceData!$A$4,$B$40+O$2-2011,SourceData!$J$1+General!$B$1))</f>
        <v>77</v>
      </c>
      <c r="P44" s="74">
        <f ca="1">VALUE(OFFSET(SourceData!$A$4,$B$40+P$2-2011,SourceData!$J$1+General!$B$1))</f>
        <v>82</v>
      </c>
      <c r="Q44" s="74">
        <f ca="1">VALUE(OFFSET(SourceData!$A$4,$B$40+Q$2-2011,SourceData!$J$1+General!$B$1))</f>
        <v>87</v>
      </c>
      <c r="R44" s="74">
        <f ca="1">VALUE(OFFSET(SourceData!$A$4,$B$40+R$2-2011,SourceData!$J$1+General!$B$1))</f>
        <v>93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19">E44/D44-1</f>
        <v>1.2222222222222223</v>
      </c>
      <c r="F45" s="17">
        <f t="shared" ca="1" si="19"/>
        <v>0.55000000000000004</v>
      </c>
      <c r="G45" s="17">
        <f t="shared" ca="1" si="19"/>
        <v>0.38709677419354849</v>
      </c>
      <c r="H45" s="17">
        <f t="shared" ca="1" si="19"/>
        <v>0.16279069767441867</v>
      </c>
      <c r="I45" s="17">
        <f t="shared" ca="1" si="19"/>
        <v>6.0000000000000053E-2</v>
      </c>
      <c r="J45" s="17">
        <f t="shared" ca="1" si="19"/>
        <v>5.6603773584905648E-2</v>
      </c>
      <c r="K45" s="17">
        <f t="shared" ca="1" si="19"/>
        <v>7.1428571428571397E-2</v>
      </c>
      <c r="L45" s="17">
        <f t="shared" ca="1" si="19"/>
        <v>5.0000000000000044E-2</v>
      </c>
      <c r="M45" s="17">
        <f t="shared" ca="1" si="19"/>
        <v>7.9365079365079305E-2</v>
      </c>
      <c r="N45" s="17">
        <f t="shared" ca="1" si="19"/>
        <v>5.8823529411764719E-2</v>
      </c>
      <c r="O45" s="17">
        <f t="shared" ca="1" si="19"/>
        <v>6.944444444444442E-2</v>
      </c>
      <c r="P45" s="17">
        <f t="shared" ca="1" si="19"/>
        <v>6.4935064935064846E-2</v>
      </c>
      <c r="Q45" s="17">
        <f t="shared" ca="1" si="19"/>
        <v>6.0975609756097615E-2</v>
      </c>
      <c r="R45" s="17">
        <f t="shared" ca="1" si="19"/>
        <v>6.8965517241379226E-2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5" tint="-0.249977111117893"/>
  </sheetPr>
  <dimension ref="A1:AA51"/>
  <sheetViews>
    <sheetView workbookViewId="0">
      <pane xSplit="2" ySplit="2" topLeftCell="C3" activePane="bottomRight" state="frozen"/>
      <selection activeCell="D20" sqref="D20"/>
      <selection pane="topRight" activeCell="D20" sqref="D20"/>
      <selection pane="bottomLeft" activeCell="D20" sqref="D20"/>
      <selection pane="bottomRight" activeCell="C8" sqref="C8"/>
    </sheetView>
  </sheetViews>
  <sheetFormatPr defaultRowHeight="12.75" x14ac:dyDescent="0.2"/>
  <cols>
    <col min="1" max="1" width="66.140625" style="2" customWidth="1"/>
    <col min="2" max="2" width="9.140625" style="2"/>
    <col min="3" max="24" width="11.28515625" style="2" bestFit="1" customWidth="1"/>
    <col min="25" max="250" width="9.140625" style="2"/>
    <col min="251" max="251" width="66.140625" style="2" customWidth="1"/>
    <col min="252" max="254" width="9.140625" style="2"/>
    <col min="255" max="255" width="9.7109375" style="2" customWidth="1"/>
    <col min="256" max="279" width="11.28515625" style="2" bestFit="1" customWidth="1"/>
    <col min="280" max="506" width="9.140625" style="2"/>
    <col min="507" max="507" width="66.140625" style="2" customWidth="1"/>
    <col min="508" max="510" width="9.140625" style="2"/>
    <col min="511" max="511" width="9.7109375" style="2" customWidth="1"/>
    <col min="512" max="535" width="11.28515625" style="2" bestFit="1" customWidth="1"/>
    <col min="536" max="762" width="9.140625" style="2"/>
    <col min="763" max="763" width="66.140625" style="2" customWidth="1"/>
    <col min="764" max="766" width="9.140625" style="2"/>
    <col min="767" max="767" width="9.7109375" style="2" customWidth="1"/>
    <col min="768" max="791" width="11.28515625" style="2" bestFit="1" customWidth="1"/>
    <col min="792" max="1018" width="9.140625" style="2"/>
    <col min="1019" max="1019" width="66.140625" style="2" customWidth="1"/>
    <col min="1020" max="1022" width="9.140625" style="2"/>
    <col min="1023" max="1023" width="9.7109375" style="2" customWidth="1"/>
    <col min="1024" max="1047" width="11.28515625" style="2" bestFit="1" customWidth="1"/>
    <col min="1048" max="1274" width="9.140625" style="2"/>
    <col min="1275" max="1275" width="66.140625" style="2" customWidth="1"/>
    <col min="1276" max="1278" width="9.140625" style="2"/>
    <col min="1279" max="1279" width="9.7109375" style="2" customWidth="1"/>
    <col min="1280" max="1303" width="11.28515625" style="2" bestFit="1" customWidth="1"/>
    <col min="1304" max="1530" width="9.140625" style="2"/>
    <col min="1531" max="1531" width="66.140625" style="2" customWidth="1"/>
    <col min="1532" max="1534" width="9.140625" style="2"/>
    <col min="1535" max="1535" width="9.7109375" style="2" customWidth="1"/>
    <col min="1536" max="1559" width="11.28515625" style="2" bestFit="1" customWidth="1"/>
    <col min="1560" max="1786" width="9.140625" style="2"/>
    <col min="1787" max="1787" width="66.140625" style="2" customWidth="1"/>
    <col min="1788" max="1790" width="9.140625" style="2"/>
    <col min="1791" max="1791" width="9.7109375" style="2" customWidth="1"/>
    <col min="1792" max="1815" width="11.28515625" style="2" bestFit="1" customWidth="1"/>
    <col min="1816" max="2042" width="9.140625" style="2"/>
    <col min="2043" max="2043" width="66.140625" style="2" customWidth="1"/>
    <col min="2044" max="2046" width="9.140625" style="2"/>
    <col min="2047" max="2047" width="9.7109375" style="2" customWidth="1"/>
    <col min="2048" max="2071" width="11.28515625" style="2" bestFit="1" customWidth="1"/>
    <col min="2072" max="2298" width="9.140625" style="2"/>
    <col min="2299" max="2299" width="66.140625" style="2" customWidth="1"/>
    <col min="2300" max="2302" width="9.140625" style="2"/>
    <col min="2303" max="2303" width="9.7109375" style="2" customWidth="1"/>
    <col min="2304" max="2327" width="11.28515625" style="2" bestFit="1" customWidth="1"/>
    <col min="2328" max="2554" width="9.140625" style="2"/>
    <col min="2555" max="2555" width="66.140625" style="2" customWidth="1"/>
    <col min="2556" max="2558" width="9.140625" style="2"/>
    <col min="2559" max="2559" width="9.7109375" style="2" customWidth="1"/>
    <col min="2560" max="2583" width="11.28515625" style="2" bestFit="1" customWidth="1"/>
    <col min="2584" max="2810" width="9.140625" style="2"/>
    <col min="2811" max="2811" width="66.140625" style="2" customWidth="1"/>
    <col min="2812" max="2814" width="9.140625" style="2"/>
    <col min="2815" max="2815" width="9.7109375" style="2" customWidth="1"/>
    <col min="2816" max="2839" width="11.28515625" style="2" bestFit="1" customWidth="1"/>
    <col min="2840" max="3066" width="9.140625" style="2"/>
    <col min="3067" max="3067" width="66.140625" style="2" customWidth="1"/>
    <col min="3068" max="3070" width="9.140625" style="2"/>
    <col min="3071" max="3071" width="9.7109375" style="2" customWidth="1"/>
    <col min="3072" max="3095" width="11.28515625" style="2" bestFit="1" customWidth="1"/>
    <col min="3096" max="3322" width="9.140625" style="2"/>
    <col min="3323" max="3323" width="66.140625" style="2" customWidth="1"/>
    <col min="3324" max="3326" width="9.140625" style="2"/>
    <col min="3327" max="3327" width="9.7109375" style="2" customWidth="1"/>
    <col min="3328" max="3351" width="11.28515625" style="2" bestFit="1" customWidth="1"/>
    <col min="3352" max="3578" width="9.140625" style="2"/>
    <col min="3579" max="3579" width="66.140625" style="2" customWidth="1"/>
    <col min="3580" max="3582" width="9.140625" style="2"/>
    <col min="3583" max="3583" width="9.7109375" style="2" customWidth="1"/>
    <col min="3584" max="3607" width="11.28515625" style="2" bestFit="1" customWidth="1"/>
    <col min="3608" max="3834" width="9.140625" style="2"/>
    <col min="3835" max="3835" width="66.140625" style="2" customWidth="1"/>
    <col min="3836" max="3838" width="9.140625" style="2"/>
    <col min="3839" max="3839" width="9.7109375" style="2" customWidth="1"/>
    <col min="3840" max="3863" width="11.28515625" style="2" bestFit="1" customWidth="1"/>
    <col min="3864" max="4090" width="9.140625" style="2"/>
    <col min="4091" max="4091" width="66.140625" style="2" customWidth="1"/>
    <col min="4092" max="4094" width="9.140625" style="2"/>
    <col min="4095" max="4095" width="9.7109375" style="2" customWidth="1"/>
    <col min="4096" max="4119" width="11.28515625" style="2" bestFit="1" customWidth="1"/>
    <col min="4120" max="4346" width="9.140625" style="2"/>
    <col min="4347" max="4347" width="66.140625" style="2" customWidth="1"/>
    <col min="4348" max="4350" width="9.140625" style="2"/>
    <col min="4351" max="4351" width="9.7109375" style="2" customWidth="1"/>
    <col min="4352" max="4375" width="11.28515625" style="2" bestFit="1" customWidth="1"/>
    <col min="4376" max="4602" width="9.140625" style="2"/>
    <col min="4603" max="4603" width="66.140625" style="2" customWidth="1"/>
    <col min="4604" max="4606" width="9.140625" style="2"/>
    <col min="4607" max="4607" width="9.7109375" style="2" customWidth="1"/>
    <col min="4608" max="4631" width="11.28515625" style="2" bestFit="1" customWidth="1"/>
    <col min="4632" max="4858" width="9.140625" style="2"/>
    <col min="4859" max="4859" width="66.140625" style="2" customWidth="1"/>
    <col min="4860" max="4862" width="9.140625" style="2"/>
    <col min="4863" max="4863" width="9.7109375" style="2" customWidth="1"/>
    <col min="4864" max="4887" width="11.28515625" style="2" bestFit="1" customWidth="1"/>
    <col min="4888" max="5114" width="9.140625" style="2"/>
    <col min="5115" max="5115" width="66.140625" style="2" customWidth="1"/>
    <col min="5116" max="5118" width="9.140625" style="2"/>
    <col min="5119" max="5119" width="9.7109375" style="2" customWidth="1"/>
    <col min="5120" max="5143" width="11.28515625" style="2" bestFit="1" customWidth="1"/>
    <col min="5144" max="5370" width="9.140625" style="2"/>
    <col min="5371" max="5371" width="66.140625" style="2" customWidth="1"/>
    <col min="5372" max="5374" width="9.140625" style="2"/>
    <col min="5375" max="5375" width="9.7109375" style="2" customWidth="1"/>
    <col min="5376" max="5399" width="11.28515625" style="2" bestFit="1" customWidth="1"/>
    <col min="5400" max="5626" width="9.140625" style="2"/>
    <col min="5627" max="5627" width="66.140625" style="2" customWidth="1"/>
    <col min="5628" max="5630" width="9.140625" style="2"/>
    <col min="5631" max="5631" width="9.7109375" style="2" customWidth="1"/>
    <col min="5632" max="5655" width="11.28515625" style="2" bestFit="1" customWidth="1"/>
    <col min="5656" max="5882" width="9.140625" style="2"/>
    <col min="5883" max="5883" width="66.140625" style="2" customWidth="1"/>
    <col min="5884" max="5886" width="9.140625" style="2"/>
    <col min="5887" max="5887" width="9.7109375" style="2" customWidth="1"/>
    <col min="5888" max="5911" width="11.28515625" style="2" bestFit="1" customWidth="1"/>
    <col min="5912" max="6138" width="9.140625" style="2"/>
    <col min="6139" max="6139" width="66.140625" style="2" customWidth="1"/>
    <col min="6140" max="6142" width="9.140625" style="2"/>
    <col min="6143" max="6143" width="9.7109375" style="2" customWidth="1"/>
    <col min="6144" max="6167" width="11.28515625" style="2" bestFit="1" customWidth="1"/>
    <col min="6168" max="6394" width="9.140625" style="2"/>
    <col min="6395" max="6395" width="66.140625" style="2" customWidth="1"/>
    <col min="6396" max="6398" width="9.140625" style="2"/>
    <col min="6399" max="6399" width="9.7109375" style="2" customWidth="1"/>
    <col min="6400" max="6423" width="11.28515625" style="2" bestFit="1" customWidth="1"/>
    <col min="6424" max="6650" width="9.140625" style="2"/>
    <col min="6651" max="6651" width="66.140625" style="2" customWidth="1"/>
    <col min="6652" max="6654" width="9.140625" style="2"/>
    <col min="6655" max="6655" width="9.7109375" style="2" customWidth="1"/>
    <col min="6656" max="6679" width="11.28515625" style="2" bestFit="1" customWidth="1"/>
    <col min="6680" max="6906" width="9.140625" style="2"/>
    <col min="6907" max="6907" width="66.140625" style="2" customWidth="1"/>
    <col min="6908" max="6910" width="9.140625" style="2"/>
    <col min="6911" max="6911" width="9.7109375" style="2" customWidth="1"/>
    <col min="6912" max="6935" width="11.28515625" style="2" bestFit="1" customWidth="1"/>
    <col min="6936" max="7162" width="9.140625" style="2"/>
    <col min="7163" max="7163" width="66.140625" style="2" customWidth="1"/>
    <col min="7164" max="7166" width="9.140625" style="2"/>
    <col min="7167" max="7167" width="9.7109375" style="2" customWidth="1"/>
    <col min="7168" max="7191" width="11.28515625" style="2" bestFit="1" customWidth="1"/>
    <col min="7192" max="7418" width="9.140625" style="2"/>
    <col min="7419" max="7419" width="66.140625" style="2" customWidth="1"/>
    <col min="7420" max="7422" width="9.140625" style="2"/>
    <col min="7423" max="7423" width="9.7109375" style="2" customWidth="1"/>
    <col min="7424" max="7447" width="11.28515625" style="2" bestFit="1" customWidth="1"/>
    <col min="7448" max="7674" width="9.140625" style="2"/>
    <col min="7675" max="7675" width="66.140625" style="2" customWidth="1"/>
    <col min="7676" max="7678" width="9.140625" style="2"/>
    <col min="7679" max="7679" width="9.7109375" style="2" customWidth="1"/>
    <col min="7680" max="7703" width="11.28515625" style="2" bestFit="1" customWidth="1"/>
    <col min="7704" max="7930" width="9.140625" style="2"/>
    <col min="7931" max="7931" width="66.140625" style="2" customWidth="1"/>
    <col min="7932" max="7934" width="9.140625" style="2"/>
    <col min="7935" max="7935" width="9.7109375" style="2" customWidth="1"/>
    <col min="7936" max="7959" width="11.28515625" style="2" bestFit="1" customWidth="1"/>
    <col min="7960" max="8186" width="9.140625" style="2"/>
    <col min="8187" max="8187" width="66.140625" style="2" customWidth="1"/>
    <col min="8188" max="8190" width="9.140625" style="2"/>
    <col min="8191" max="8191" width="9.7109375" style="2" customWidth="1"/>
    <col min="8192" max="8215" width="11.28515625" style="2" bestFit="1" customWidth="1"/>
    <col min="8216" max="8442" width="9.140625" style="2"/>
    <col min="8443" max="8443" width="66.140625" style="2" customWidth="1"/>
    <col min="8444" max="8446" width="9.140625" style="2"/>
    <col min="8447" max="8447" width="9.7109375" style="2" customWidth="1"/>
    <col min="8448" max="8471" width="11.28515625" style="2" bestFit="1" customWidth="1"/>
    <col min="8472" max="8698" width="9.140625" style="2"/>
    <col min="8699" max="8699" width="66.140625" style="2" customWidth="1"/>
    <col min="8700" max="8702" width="9.140625" style="2"/>
    <col min="8703" max="8703" width="9.7109375" style="2" customWidth="1"/>
    <col min="8704" max="8727" width="11.28515625" style="2" bestFit="1" customWidth="1"/>
    <col min="8728" max="8954" width="9.140625" style="2"/>
    <col min="8955" max="8955" width="66.140625" style="2" customWidth="1"/>
    <col min="8956" max="8958" width="9.140625" style="2"/>
    <col min="8959" max="8959" width="9.7109375" style="2" customWidth="1"/>
    <col min="8960" max="8983" width="11.28515625" style="2" bestFit="1" customWidth="1"/>
    <col min="8984" max="9210" width="9.140625" style="2"/>
    <col min="9211" max="9211" width="66.140625" style="2" customWidth="1"/>
    <col min="9212" max="9214" width="9.140625" style="2"/>
    <col min="9215" max="9215" width="9.7109375" style="2" customWidth="1"/>
    <col min="9216" max="9239" width="11.28515625" style="2" bestFit="1" customWidth="1"/>
    <col min="9240" max="9466" width="9.140625" style="2"/>
    <col min="9467" max="9467" width="66.140625" style="2" customWidth="1"/>
    <col min="9468" max="9470" width="9.140625" style="2"/>
    <col min="9471" max="9471" width="9.7109375" style="2" customWidth="1"/>
    <col min="9472" max="9495" width="11.28515625" style="2" bestFit="1" customWidth="1"/>
    <col min="9496" max="9722" width="9.140625" style="2"/>
    <col min="9723" max="9723" width="66.140625" style="2" customWidth="1"/>
    <col min="9724" max="9726" width="9.140625" style="2"/>
    <col min="9727" max="9727" width="9.7109375" style="2" customWidth="1"/>
    <col min="9728" max="9751" width="11.28515625" style="2" bestFit="1" customWidth="1"/>
    <col min="9752" max="9978" width="9.140625" style="2"/>
    <col min="9979" max="9979" width="66.140625" style="2" customWidth="1"/>
    <col min="9980" max="9982" width="9.140625" style="2"/>
    <col min="9983" max="9983" width="9.7109375" style="2" customWidth="1"/>
    <col min="9984" max="10007" width="11.28515625" style="2" bestFit="1" customWidth="1"/>
    <col min="10008" max="10234" width="9.140625" style="2"/>
    <col min="10235" max="10235" width="66.140625" style="2" customWidth="1"/>
    <col min="10236" max="10238" width="9.140625" style="2"/>
    <col min="10239" max="10239" width="9.7109375" style="2" customWidth="1"/>
    <col min="10240" max="10263" width="11.28515625" style="2" bestFit="1" customWidth="1"/>
    <col min="10264" max="10490" width="9.140625" style="2"/>
    <col min="10491" max="10491" width="66.140625" style="2" customWidth="1"/>
    <col min="10492" max="10494" width="9.140625" style="2"/>
    <col min="10495" max="10495" width="9.7109375" style="2" customWidth="1"/>
    <col min="10496" max="10519" width="11.28515625" style="2" bestFit="1" customWidth="1"/>
    <col min="10520" max="10746" width="9.140625" style="2"/>
    <col min="10747" max="10747" width="66.140625" style="2" customWidth="1"/>
    <col min="10748" max="10750" width="9.140625" style="2"/>
    <col min="10751" max="10751" width="9.7109375" style="2" customWidth="1"/>
    <col min="10752" max="10775" width="11.28515625" style="2" bestFit="1" customWidth="1"/>
    <col min="10776" max="11002" width="9.140625" style="2"/>
    <col min="11003" max="11003" width="66.140625" style="2" customWidth="1"/>
    <col min="11004" max="11006" width="9.140625" style="2"/>
    <col min="11007" max="11007" width="9.7109375" style="2" customWidth="1"/>
    <col min="11008" max="11031" width="11.28515625" style="2" bestFit="1" customWidth="1"/>
    <col min="11032" max="11258" width="9.140625" style="2"/>
    <col min="11259" max="11259" width="66.140625" style="2" customWidth="1"/>
    <col min="11260" max="11262" width="9.140625" style="2"/>
    <col min="11263" max="11263" width="9.7109375" style="2" customWidth="1"/>
    <col min="11264" max="11287" width="11.28515625" style="2" bestFit="1" customWidth="1"/>
    <col min="11288" max="11514" width="9.140625" style="2"/>
    <col min="11515" max="11515" width="66.140625" style="2" customWidth="1"/>
    <col min="11516" max="11518" width="9.140625" style="2"/>
    <col min="11519" max="11519" width="9.7109375" style="2" customWidth="1"/>
    <col min="11520" max="11543" width="11.28515625" style="2" bestFit="1" customWidth="1"/>
    <col min="11544" max="11770" width="9.140625" style="2"/>
    <col min="11771" max="11771" width="66.140625" style="2" customWidth="1"/>
    <col min="11772" max="11774" width="9.140625" style="2"/>
    <col min="11775" max="11775" width="9.7109375" style="2" customWidth="1"/>
    <col min="11776" max="11799" width="11.28515625" style="2" bestFit="1" customWidth="1"/>
    <col min="11800" max="12026" width="9.140625" style="2"/>
    <col min="12027" max="12027" width="66.140625" style="2" customWidth="1"/>
    <col min="12028" max="12030" width="9.140625" style="2"/>
    <col min="12031" max="12031" width="9.7109375" style="2" customWidth="1"/>
    <col min="12032" max="12055" width="11.28515625" style="2" bestFit="1" customWidth="1"/>
    <col min="12056" max="12282" width="9.140625" style="2"/>
    <col min="12283" max="12283" width="66.140625" style="2" customWidth="1"/>
    <col min="12284" max="12286" width="9.140625" style="2"/>
    <col min="12287" max="12287" width="9.7109375" style="2" customWidth="1"/>
    <col min="12288" max="12311" width="11.28515625" style="2" bestFit="1" customWidth="1"/>
    <col min="12312" max="12538" width="9.140625" style="2"/>
    <col min="12539" max="12539" width="66.140625" style="2" customWidth="1"/>
    <col min="12540" max="12542" width="9.140625" style="2"/>
    <col min="12543" max="12543" width="9.7109375" style="2" customWidth="1"/>
    <col min="12544" max="12567" width="11.28515625" style="2" bestFit="1" customWidth="1"/>
    <col min="12568" max="12794" width="9.140625" style="2"/>
    <col min="12795" max="12795" width="66.140625" style="2" customWidth="1"/>
    <col min="12796" max="12798" width="9.140625" style="2"/>
    <col min="12799" max="12799" width="9.7109375" style="2" customWidth="1"/>
    <col min="12800" max="12823" width="11.28515625" style="2" bestFit="1" customWidth="1"/>
    <col min="12824" max="13050" width="9.140625" style="2"/>
    <col min="13051" max="13051" width="66.140625" style="2" customWidth="1"/>
    <col min="13052" max="13054" width="9.140625" style="2"/>
    <col min="13055" max="13055" width="9.7109375" style="2" customWidth="1"/>
    <col min="13056" max="13079" width="11.28515625" style="2" bestFit="1" customWidth="1"/>
    <col min="13080" max="13306" width="9.140625" style="2"/>
    <col min="13307" max="13307" width="66.140625" style="2" customWidth="1"/>
    <col min="13308" max="13310" width="9.140625" style="2"/>
    <col min="13311" max="13311" width="9.7109375" style="2" customWidth="1"/>
    <col min="13312" max="13335" width="11.28515625" style="2" bestFit="1" customWidth="1"/>
    <col min="13336" max="13562" width="9.140625" style="2"/>
    <col min="13563" max="13563" width="66.140625" style="2" customWidth="1"/>
    <col min="13564" max="13566" width="9.140625" style="2"/>
    <col min="13567" max="13567" width="9.7109375" style="2" customWidth="1"/>
    <col min="13568" max="13591" width="11.28515625" style="2" bestFit="1" customWidth="1"/>
    <col min="13592" max="13818" width="9.140625" style="2"/>
    <col min="13819" max="13819" width="66.140625" style="2" customWidth="1"/>
    <col min="13820" max="13822" width="9.140625" style="2"/>
    <col min="13823" max="13823" width="9.7109375" style="2" customWidth="1"/>
    <col min="13824" max="13847" width="11.28515625" style="2" bestFit="1" customWidth="1"/>
    <col min="13848" max="14074" width="9.140625" style="2"/>
    <col min="14075" max="14075" width="66.140625" style="2" customWidth="1"/>
    <col min="14076" max="14078" width="9.140625" style="2"/>
    <col min="14079" max="14079" width="9.7109375" style="2" customWidth="1"/>
    <col min="14080" max="14103" width="11.28515625" style="2" bestFit="1" customWidth="1"/>
    <col min="14104" max="14330" width="9.140625" style="2"/>
    <col min="14331" max="14331" width="66.140625" style="2" customWidth="1"/>
    <col min="14332" max="14334" width="9.140625" style="2"/>
    <col min="14335" max="14335" width="9.7109375" style="2" customWidth="1"/>
    <col min="14336" max="14359" width="11.28515625" style="2" bestFit="1" customWidth="1"/>
    <col min="14360" max="14586" width="9.140625" style="2"/>
    <col min="14587" max="14587" width="66.140625" style="2" customWidth="1"/>
    <col min="14588" max="14590" width="9.140625" style="2"/>
    <col min="14591" max="14591" width="9.7109375" style="2" customWidth="1"/>
    <col min="14592" max="14615" width="11.28515625" style="2" bestFit="1" customWidth="1"/>
    <col min="14616" max="14842" width="9.140625" style="2"/>
    <col min="14843" max="14843" width="66.140625" style="2" customWidth="1"/>
    <col min="14844" max="14846" width="9.140625" style="2"/>
    <col min="14847" max="14847" width="9.7109375" style="2" customWidth="1"/>
    <col min="14848" max="14871" width="11.28515625" style="2" bestFit="1" customWidth="1"/>
    <col min="14872" max="15098" width="9.140625" style="2"/>
    <col min="15099" max="15099" width="66.140625" style="2" customWidth="1"/>
    <col min="15100" max="15102" width="9.140625" style="2"/>
    <col min="15103" max="15103" width="9.7109375" style="2" customWidth="1"/>
    <col min="15104" max="15127" width="11.28515625" style="2" bestFit="1" customWidth="1"/>
    <col min="15128" max="15354" width="9.140625" style="2"/>
    <col min="15355" max="15355" width="66.140625" style="2" customWidth="1"/>
    <col min="15356" max="15358" width="9.140625" style="2"/>
    <col min="15359" max="15359" width="9.7109375" style="2" customWidth="1"/>
    <col min="15360" max="15383" width="11.28515625" style="2" bestFit="1" customWidth="1"/>
    <col min="15384" max="15610" width="9.140625" style="2"/>
    <col min="15611" max="15611" width="66.140625" style="2" customWidth="1"/>
    <col min="15612" max="15614" width="9.140625" style="2"/>
    <col min="15615" max="15615" width="9.7109375" style="2" customWidth="1"/>
    <col min="15616" max="15639" width="11.28515625" style="2" bestFit="1" customWidth="1"/>
    <col min="15640" max="15866" width="9.140625" style="2"/>
    <col min="15867" max="15867" width="66.140625" style="2" customWidth="1"/>
    <col min="15868" max="15870" width="9.140625" style="2"/>
    <col min="15871" max="15871" width="9.7109375" style="2" customWidth="1"/>
    <col min="15872" max="15895" width="11.28515625" style="2" bestFit="1" customWidth="1"/>
    <col min="15896" max="16122" width="9.140625" style="2"/>
    <col min="16123" max="16123" width="66.140625" style="2" customWidth="1"/>
    <col min="16124" max="16126" width="9.140625" style="2"/>
    <col min="16127" max="16127" width="9.7109375" style="2" customWidth="1"/>
    <col min="16128" max="16151" width="11.28515625" style="2" bestFit="1" customWidth="1"/>
    <col min="16152" max="16384" width="9.140625" style="2"/>
  </cols>
  <sheetData>
    <row r="1" spans="1:27" ht="20.25" thickBot="1" x14ac:dyDescent="0.35">
      <c r="A1" s="18" t="s">
        <v>38</v>
      </c>
    </row>
    <row r="2" spans="1:27" ht="15.75" thickTop="1" x14ac:dyDescent="0.25">
      <c r="A2" s="19" t="s">
        <v>78</v>
      </c>
      <c r="B2" s="26" t="str">
        <f>VLOOKUP(A2,General!$A$9:$B$23,2,FALSE)</f>
        <v>MAL</v>
      </c>
      <c r="C2" s="1">
        <v>2010</v>
      </c>
      <c r="D2" s="1">
        <f>C2+1</f>
        <v>2011</v>
      </c>
      <c r="E2" s="1">
        <f t="shared" ref="E2:X2" si="0">D2+1</f>
        <v>2012</v>
      </c>
      <c r="F2" s="1">
        <f t="shared" si="0"/>
        <v>2013</v>
      </c>
      <c r="G2" s="1">
        <f t="shared" si="0"/>
        <v>2014</v>
      </c>
      <c r="H2" s="1">
        <f t="shared" si="0"/>
        <v>2015</v>
      </c>
      <c r="I2" s="1">
        <f t="shared" si="0"/>
        <v>2016</v>
      </c>
      <c r="J2" s="1">
        <f t="shared" si="0"/>
        <v>2017</v>
      </c>
      <c r="K2" s="1">
        <f t="shared" si="0"/>
        <v>2018</v>
      </c>
      <c r="L2" s="1">
        <f t="shared" si="0"/>
        <v>2019</v>
      </c>
      <c r="M2" s="1">
        <f t="shared" si="0"/>
        <v>2020</v>
      </c>
      <c r="N2" s="1">
        <f t="shared" si="0"/>
        <v>2021</v>
      </c>
      <c r="O2" s="1">
        <f t="shared" si="0"/>
        <v>2022</v>
      </c>
      <c r="P2" s="1">
        <f t="shared" si="0"/>
        <v>2023</v>
      </c>
      <c r="Q2" s="1">
        <f t="shared" si="0"/>
        <v>2024</v>
      </c>
      <c r="R2" s="1">
        <f t="shared" si="0"/>
        <v>2025</v>
      </c>
      <c r="S2" s="1">
        <f t="shared" si="0"/>
        <v>2026</v>
      </c>
      <c r="T2" s="1">
        <f t="shared" si="0"/>
        <v>2027</v>
      </c>
      <c r="U2" s="1">
        <f t="shared" si="0"/>
        <v>2028</v>
      </c>
      <c r="V2" s="1">
        <f t="shared" si="0"/>
        <v>2029</v>
      </c>
      <c r="W2" s="1">
        <f t="shared" si="0"/>
        <v>2030</v>
      </c>
      <c r="X2" s="1">
        <f t="shared" si="0"/>
        <v>2031</v>
      </c>
      <c r="Y2" s="2">
        <v>2040</v>
      </c>
      <c r="Z2" s="2">
        <v>2050</v>
      </c>
      <c r="AA2" s="2">
        <v>2060</v>
      </c>
    </row>
    <row r="3" spans="1:27" x14ac:dyDescent="0.2">
      <c r="A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15" x14ac:dyDescent="0.25">
      <c r="A4" s="1" t="s">
        <v>12</v>
      </c>
      <c r="C4" s="21"/>
      <c r="D4" s="27">
        <f ca="1">D42</f>
        <v>3.4608378870673917E-2</v>
      </c>
      <c r="E4" s="27">
        <f t="shared" ref="E4:R4" ca="1" si="1">E42</f>
        <v>8.4507042253521236E-2</v>
      </c>
      <c r="F4" s="27">
        <f t="shared" ca="1" si="1"/>
        <v>0.12175324675324672</v>
      </c>
      <c r="G4" s="27">
        <f t="shared" ca="1" si="1"/>
        <v>0.52749638205499272</v>
      </c>
      <c r="H4" s="27">
        <f t="shared" ca="1" si="1"/>
        <v>5.4476551397441897E-2</v>
      </c>
      <c r="I4" s="27">
        <f t="shared" ca="1" si="1"/>
        <v>0.30098831985624441</v>
      </c>
      <c r="J4" s="27">
        <f t="shared" ca="1" si="1"/>
        <v>3.4875690607734766E-2</v>
      </c>
      <c r="K4" s="27">
        <f t="shared" ca="1" si="1"/>
        <v>5.2052052052051989E-2</v>
      </c>
      <c r="L4" s="27">
        <f t="shared" ca="1" si="1"/>
        <v>3.013003488740873E-2</v>
      </c>
      <c r="M4" s="27">
        <f t="shared" ca="1" si="1"/>
        <v>4.6182266009852313E-2</v>
      </c>
      <c r="N4" s="27">
        <f t="shared" ca="1" si="1"/>
        <v>4.9735138316656879E-2</v>
      </c>
      <c r="O4" s="27">
        <f t="shared" ca="1" si="1"/>
        <v>4.8500140173815431E-2</v>
      </c>
      <c r="P4" s="27">
        <f t="shared" ca="1" si="1"/>
        <v>4.705882352941182E-2</v>
      </c>
      <c r="Q4" s="27">
        <f t="shared" ca="1" si="1"/>
        <v>4.6220633299284941E-2</v>
      </c>
      <c r="R4" s="27">
        <f t="shared" ca="1" si="1"/>
        <v>4.515499145716384E-2</v>
      </c>
      <c r="S4" s="17">
        <f ca="1">$W$4</f>
        <v>3.9326084939804939E-2</v>
      </c>
      <c r="T4" s="17">
        <f t="shared" ref="T4:V4" ca="1" si="2">$W$4</f>
        <v>3.9326084939804939E-2</v>
      </c>
      <c r="U4" s="17">
        <f t="shared" ca="1" si="2"/>
        <v>3.9326084939804939E-2</v>
      </c>
      <c r="V4" s="17">
        <f t="shared" ca="1" si="2"/>
        <v>3.9326084939804939E-2</v>
      </c>
      <c r="W4" s="17">
        <f ca="1">SUMIF(SourceData!$AO$3:$BA$3,$B$2,SourceData!$AO$25:$BA$25)</f>
        <v>3.9326084939804939E-2</v>
      </c>
      <c r="X4" s="73">
        <f ca="1">W4</f>
        <v>3.9326084939804939E-2</v>
      </c>
      <c r="Y4" s="17">
        <f ca="1">SUMIF(SourceData!$AO$3:$BA$3,$B$2,SourceData!$AO$27:$BA$27)</f>
        <v>3.9326084939804939E-2</v>
      </c>
      <c r="Z4" s="17">
        <f ca="1">SUMIF(SourceData!$AO$3:$BA$3,$B$2,SourceData!$AO$28:$BA$28)</f>
        <v>3.9326084939804939E-2</v>
      </c>
      <c r="AA4" s="17">
        <v>0</v>
      </c>
    </row>
    <row r="5" spans="1:27" ht="15" x14ac:dyDescent="0.25">
      <c r="A5" s="1" t="s">
        <v>36</v>
      </c>
      <c r="B5" s="5" t="s">
        <v>1</v>
      </c>
      <c r="C5" s="6">
        <f ca="1">C41*(1-C7)*(1-C10)</f>
        <v>933.3</v>
      </c>
      <c r="D5" s="7">
        <f t="shared" ref="D5:X5" ca="1" si="3">C5*(1+D4)</f>
        <v>965.59999999999991</v>
      </c>
      <c r="E5" s="7">
        <f t="shared" ca="1" si="3"/>
        <v>1047.2</v>
      </c>
      <c r="F5" s="7">
        <f t="shared" ca="1" si="3"/>
        <v>1174.7</v>
      </c>
      <c r="G5" s="7">
        <f t="shared" ca="1" si="3"/>
        <v>1794.35</v>
      </c>
      <c r="H5" s="7">
        <f t="shared" ca="1" si="3"/>
        <v>1892.0999999999997</v>
      </c>
      <c r="I5" s="7">
        <f t="shared" ca="1" si="3"/>
        <v>2461.5999999999995</v>
      </c>
      <c r="J5" s="7">
        <f t="shared" ca="1" si="3"/>
        <v>2547.4499999999994</v>
      </c>
      <c r="K5" s="7">
        <f t="shared" ca="1" si="3"/>
        <v>2680.0499999999993</v>
      </c>
      <c r="L5" s="7">
        <f t="shared" ca="1" si="3"/>
        <v>2760.7999999999988</v>
      </c>
      <c r="M5" s="7">
        <f t="shared" ca="1" si="3"/>
        <v>2888.2999999999988</v>
      </c>
      <c r="N5" s="7">
        <f t="shared" ca="1" si="3"/>
        <v>3031.9499999999989</v>
      </c>
      <c r="O5" s="7">
        <f t="shared" ca="1" si="3"/>
        <v>3178.9999999999986</v>
      </c>
      <c r="P5" s="7">
        <f t="shared" ca="1" si="3"/>
        <v>3328.5999999999985</v>
      </c>
      <c r="Q5" s="7">
        <f t="shared" ca="1" si="3"/>
        <v>3482.4499999999985</v>
      </c>
      <c r="R5" s="7">
        <f t="shared" ca="1" si="3"/>
        <v>3639.6999999999985</v>
      </c>
      <c r="S5" s="7">
        <f t="shared" ca="1" si="3"/>
        <v>3782.8351513554067</v>
      </c>
      <c r="T5" s="7">
        <f t="shared" ca="1" si="3"/>
        <v>3931.5992478308895</v>
      </c>
      <c r="U5" s="7">
        <f t="shared" ca="1" si="3"/>
        <v>4086.2136538003601</v>
      </c>
      <c r="V5" s="7">
        <f t="shared" ca="1" si="3"/>
        <v>4246.908439031904</v>
      </c>
      <c r="W5" s="7">
        <f t="shared" ca="1" si="3"/>
        <v>4413.9227210368472</v>
      </c>
      <c r="X5" s="7">
        <f t="shared" ca="1" si="3"/>
        <v>4587.5050208820776</v>
      </c>
      <c r="Y5" s="7">
        <f ca="1">W5*(1+Y4)^(Y2-W2)</f>
        <v>6491.4691641694053</v>
      </c>
      <c r="Z5" s="7">
        <f t="shared" ref="Z5:AA5" ca="1" si="4">Y5*(1+Z4)^(Z2-Y2)</f>
        <v>9546.875777531417</v>
      </c>
      <c r="AA5" s="7">
        <f t="shared" ca="1" si="4"/>
        <v>9546.875777531417</v>
      </c>
    </row>
    <row r="6" spans="1:27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ht="15" x14ac:dyDescent="0.25">
      <c r="A7" s="1" t="s">
        <v>3</v>
      </c>
      <c r="C7" s="22">
        <v>0</v>
      </c>
      <c r="D7" s="28">
        <f t="shared" ref="D7:AA7" si="5">C7</f>
        <v>0</v>
      </c>
      <c r="E7" s="28">
        <f t="shared" si="5"/>
        <v>0</v>
      </c>
      <c r="F7" s="28">
        <f t="shared" si="5"/>
        <v>0</v>
      </c>
      <c r="G7" s="28">
        <f t="shared" si="5"/>
        <v>0</v>
      </c>
      <c r="H7" s="28">
        <f t="shared" si="5"/>
        <v>0</v>
      </c>
      <c r="I7" s="28">
        <f t="shared" si="5"/>
        <v>0</v>
      </c>
      <c r="J7" s="28">
        <f t="shared" si="5"/>
        <v>0</v>
      </c>
      <c r="K7" s="28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8">
        <f t="shared" si="5"/>
        <v>0</v>
      </c>
      <c r="P7" s="28">
        <f t="shared" si="5"/>
        <v>0</v>
      </c>
      <c r="Q7" s="28">
        <f t="shared" si="5"/>
        <v>0</v>
      </c>
      <c r="R7" s="28">
        <f t="shared" si="5"/>
        <v>0</v>
      </c>
      <c r="S7" s="28">
        <f t="shared" si="5"/>
        <v>0</v>
      </c>
      <c r="T7" s="28">
        <f t="shared" si="5"/>
        <v>0</v>
      </c>
      <c r="U7" s="28">
        <f t="shared" si="5"/>
        <v>0</v>
      </c>
      <c r="V7" s="28">
        <f t="shared" si="5"/>
        <v>0</v>
      </c>
      <c r="W7" s="28">
        <f t="shared" si="5"/>
        <v>0</v>
      </c>
      <c r="X7" s="28">
        <f t="shared" si="5"/>
        <v>0</v>
      </c>
      <c r="Y7" s="28">
        <f t="shared" si="5"/>
        <v>0</v>
      </c>
      <c r="Z7" s="28">
        <f t="shared" si="5"/>
        <v>0</v>
      </c>
      <c r="AA7" s="28">
        <f t="shared" si="5"/>
        <v>0</v>
      </c>
    </row>
    <row r="8" spans="1:27" ht="15" x14ac:dyDescent="0.25">
      <c r="A8" s="1" t="s">
        <v>28</v>
      </c>
      <c r="B8" s="5" t="s">
        <v>1</v>
      </c>
      <c r="C8" s="8">
        <f t="shared" ref="C8:AA8" ca="1" si="6">C5/(1-C7)</f>
        <v>933.3</v>
      </c>
      <c r="D8" s="8">
        <f t="shared" ca="1" si="6"/>
        <v>965.59999999999991</v>
      </c>
      <c r="E8" s="8">
        <f t="shared" ca="1" si="6"/>
        <v>1047.2</v>
      </c>
      <c r="F8" s="8">
        <f t="shared" ca="1" si="6"/>
        <v>1174.7</v>
      </c>
      <c r="G8" s="8">
        <f t="shared" ca="1" si="6"/>
        <v>1794.35</v>
      </c>
      <c r="H8" s="8">
        <f t="shared" ca="1" si="6"/>
        <v>1892.0999999999997</v>
      </c>
      <c r="I8" s="8">
        <f t="shared" ca="1" si="6"/>
        <v>2461.5999999999995</v>
      </c>
      <c r="J8" s="8">
        <f t="shared" ca="1" si="6"/>
        <v>2547.4499999999994</v>
      </c>
      <c r="K8" s="8">
        <f t="shared" ca="1" si="6"/>
        <v>2680.0499999999993</v>
      </c>
      <c r="L8" s="8">
        <f t="shared" ca="1" si="6"/>
        <v>2760.7999999999988</v>
      </c>
      <c r="M8" s="8">
        <f t="shared" ca="1" si="6"/>
        <v>2888.2999999999988</v>
      </c>
      <c r="N8" s="8">
        <f t="shared" ca="1" si="6"/>
        <v>3031.9499999999989</v>
      </c>
      <c r="O8" s="8">
        <f t="shared" ca="1" si="6"/>
        <v>3178.9999999999986</v>
      </c>
      <c r="P8" s="8">
        <f t="shared" ca="1" si="6"/>
        <v>3328.5999999999985</v>
      </c>
      <c r="Q8" s="8">
        <f t="shared" ca="1" si="6"/>
        <v>3482.4499999999985</v>
      </c>
      <c r="R8" s="8">
        <f t="shared" ca="1" si="6"/>
        <v>3639.6999999999985</v>
      </c>
      <c r="S8" s="8">
        <f t="shared" ca="1" si="6"/>
        <v>3782.8351513554067</v>
      </c>
      <c r="T8" s="8">
        <f t="shared" ca="1" si="6"/>
        <v>3931.5992478308895</v>
      </c>
      <c r="U8" s="8">
        <f t="shared" ca="1" si="6"/>
        <v>4086.2136538003601</v>
      </c>
      <c r="V8" s="8">
        <f t="shared" ca="1" si="6"/>
        <v>4246.908439031904</v>
      </c>
      <c r="W8" s="8">
        <f t="shared" ca="1" si="6"/>
        <v>4413.9227210368472</v>
      </c>
      <c r="X8" s="8">
        <f t="shared" ca="1" si="6"/>
        <v>4587.5050208820776</v>
      </c>
      <c r="Y8" s="8">
        <f t="shared" ca="1" si="6"/>
        <v>6491.4691641694053</v>
      </c>
      <c r="Z8" s="8">
        <f t="shared" ca="1" si="6"/>
        <v>9546.875777531417</v>
      </c>
      <c r="AA8" s="8">
        <f t="shared" ca="1" si="6"/>
        <v>9546.875777531417</v>
      </c>
    </row>
    <row r="9" spans="1:27" ht="15" x14ac:dyDescent="0.25">
      <c r="A9" s="3" t="s">
        <v>4</v>
      </c>
      <c r="B9" s="5"/>
      <c r="C9" s="10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5" x14ac:dyDescent="0.25">
      <c r="A10" s="1" t="s">
        <v>5</v>
      </c>
      <c r="C10" s="40">
        <v>0.15</v>
      </c>
      <c r="D10" s="27">
        <f>C10</f>
        <v>0.15</v>
      </c>
      <c r="E10" s="27">
        <f t="shared" ref="E10:AA10" si="7">D10</f>
        <v>0.15</v>
      </c>
      <c r="F10" s="27">
        <f t="shared" si="7"/>
        <v>0.15</v>
      </c>
      <c r="G10" s="27">
        <f t="shared" si="7"/>
        <v>0.15</v>
      </c>
      <c r="H10" s="27">
        <f t="shared" si="7"/>
        <v>0.15</v>
      </c>
      <c r="I10" s="27">
        <f t="shared" si="7"/>
        <v>0.15</v>
      </c>
      <c r="J10" s="27">
        <f t="shared" si="7"/>
        <v>0.15</v>
      </c>
      <c r="K10" s="27">
        <f t="shared" si="7"/>
        <v>0.15</v>
      </c>
      <c r="L10" s="27">
        <f t="shared" si="7"/>
        <v>0.15</v>
      </c>
      <c r="M10" s="27">
        <f t="shared" si="7"/>
        <v>0.15</v>
      </c>
      <c r="N10" s="27">
        <f t="shared" si="7"/>
        <v>0.15</v>
      </c>
      <c r="O10" s="27">
        <f t="shared" si="7"/>
        <v>0.15</v>
      </c>
      <c r="P10" s="27">
        <f t="shared" si="7"/>
        <v>0.15</v>
      </c>
      <c r="Q10" s="27">
        <f t="shared" si="7"/>
        <v>0.15</v>
      </c>
      <c r="R10" s="27">
        <f t="shared" si="7"/>
        <v>0.15</v>
      </c>
      <c r="S10" s="27">
        <f t="shared" si="7"/>
        <v>0.15</v>
      </c>
      <c r="T10" s="27">
        <f t="shared" si="7"/>
        <v>0.15</v>
      </c>
      <c r="U10" s="27">
        <f t="shared" si="7"/>
        <v>0.15</v>
      </c>
      <c r="V10" s="27">
        <f t="shared" si="7"/>
        <v>0.15</v>
      </c>
      <c r="W10" s="27">
        <f t="shared" si="7"/>
        <v>0.15</v>
      </c>
      <c r="X10" s="27">
        <f t="shared" si="7"/>
        <v>0.15</v>
      </c>
      <c r="Y10" s="27">
        <f t="shared" si="7"/>
        <v>0.15</v>
      </c>
      <c r="Z10" s="27">
        <f t="shared" si="7"/>
        <v>0.15</v>
      </c>
      <c r="AA10" s="27">
        <f t="shared" si="7"/>
        <v>0.15</v>
      </c>
    </row>
    <row r="11" spans="1:27" ht="15" x14ac:dyDescent="0.25">
      <c r="A11" s="1" t="s">
        <v>27</v>
      </c>
      <c r="B11" s="5" t="s">
        <v>1</v>
      </c>
      <c r="C11" s="8">
        <f t="shared" ref="C11:AA11" ca="1" si="8">C8/(1-C10)</f>
        <v>1098</v>
      </c>
      <c r="D11" s="8">
        <f t="shared" ca="1" si="8"/>
        <v>1136</v>
      </c>
      <c r="E11" s="8">
        <f t="shared" ca="1" si="8"/>
        <v>1232</v>
      </c>
      <c r="F11" s="8">
        <f t="shared" ca="1" si="8"/>
        <v>1382</v>
      </c>
      <c r="G11" s="8">
        <f t="shared" ca="1" si="8"/>
        <v>2111</v>
      </c>
      <c r="H11" s="8">
        <f t="shared" ca="1" si="8"/>
        <v>2225.9999999999995</v>
      </c>
      <c r="I11" s="8">
        <f t="shared" ca="1" si="8"/>
        <v>2895.9999999999995</v>
      </c>
      <c r="J11" s="8">
        <f t="shared" ca="1" si="8"/>
        <v>2996.9999999999995</v>
      </c>
      <c r="K11" s="8">
        <f t="shared" ca="1" si="8"/>
        <v>3152.9999999999991</v>
      </c>
      <c r="L11" s="8">
        <f t="shared" ca="1" si="8"/>
        <v>3247.9999999999986</v>
      </c>
      <c r="M11" s="8">
        <f t="shared" ca="1" si="8"/>
        <v>3397.9999999999986</v>
      </c>
      <c r="N11" s="8">
        <f t="shared" ca="1" si="8"/>
        <v>3566.9999999999986</v>
      </c>
      <c r="O11" s="8">
        <f t="shared" ca="1" si="8"/>
        <v>3739.9999999999986</v>
      </c>
      <c r="P11" s="8">
        <f t="shared" ca="1" si="8"/>
        <v>3915.9999999999982</v>
      </c>
      <c r="Q11" s="8">
        <f t="shared" ca="1" si="8"/>
        <v>4096.9999999999982</v>
      </c>
      <c r="R11" s="8">
        <f t="shared" ca="1" si="8"/>
        <v>4281.9999999999982</v>
      </c>
      <c r="S11" s="8">
        <f t="shared" ca="1" si="8"/>
        <v>4450.3942957122435</v>
      </c>
      <c r="T11" s="8">
        <f t="shared" ca="1" si="8"/>
        <v>4625.4108798010466</v>
      </c>
      <c r="U11" s="8">
        <f t="shared" ca="1" si="8"/>
        <v>4807.3101809416003</v>
      </c>
      <c r="V11" s="8">
        <f t="shared" ca="1" si="8"/>
        <v>4996.3628694492991</v>
      </c>
      <c r="W11" s="8">
        <f t="shared" ca="1" si="8"/>
        <v>5192.8502600433494</v>
      </c>
      <c r="X11" s="8">
        <f t="shared" ca="1" si="8"/>
        <v>5397.0647304495033</v>
      </c>
      <c r="Y11" s="8">
        <f t="shared" ca="1" si="8"/>
        <v>7637.0225460816537</v>
      </c>
      <c r="Z11" s="8">
        <f t="shared" ca="1" si="8"/>
        <v>11231.618561801668</v>
      </c>
      <c r="AA11" s="8">
        <f t="shared" ca="1" si="8"/>
        <v>11231.618561801668</v>
      </c>
    </row>
    <row r="12" spans="1:27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7" ht="15" x14ac:dyDescent="0.25">
      <c r="A13" s="5" t="s">
        <v>30</v>
      </c>
      <c r="B13" s="5"/>
      <c r="C13" s="6">
        <v>0</v>
      </c>
      <c r="D13" s="36">
        <f>C13</f>
        <v>0</v>
      </c>
      <c r="E13" s="36">
        <f t="shared" ref="E13:T18" si="9">D13</f>
        <v>0</v>
      </c>
      <c r="F13" s="36">
        <f t="shared" si="9"/>
        <v>0</v>
      </c>
      <c r="G13" s="36">
        <f t="shared" si="9"/>
        <v>0</v>
      </c>
      <c r="H13" s="36">
        <f t="shared" si="9"/>
        <v>0</v>
      </c>
      <c r="I13" s="36">
        <f t="shared" si="9"/>
        <v>0</v>
      </c>
      <c r="J13" s="36">
        <f t="shared" si="9"/>
        <v>0</v>
      </c>
      <c r="K13" s="36">
        <f t="shared" si="9"/>
        <v>0</v>
      </c>
      <c r="L13" s="36">
        <f t="shared" si="9"/>
        <v>0</v>
      </c>
      <c r="M13" s="36">
        <f t="shared" si="9"/>
        <v>0</v>
      </c>
      <c r="N13" s="36">
        <f t="shared" si="9"/>
        <v>0</v>
      </c>
      <c r="O13" s="36">
        <f t="shared" si="9"/>
        <v>0</v>
      </c>
      <c r="P13" s="36">
        <f t="shared" si="9"/>
        <v>0</v>
      </c>
      <c r="Q13" s="36">
        <f t="shared" si="9"/>
        <v>0</v>
      </c>
      <c r="R13" s="36">
        <f t="shared" si="9"/>
        <v>0</v>
      </c>
      <c r="S13" s="36">
        <f t="shared" si="9"/>
        <v>0</v>
      </c>
      <c r="T13" s="36">
        <f t="shared" si="9"/>
        <v>0</v>
      </c>
      <c r="U13" s="36">
        <f t="shared" ref="U13:AA18" si="10">T13</f>
        <v>0</v>
      </c>
      <c r="V13" s="36">
        <f t="shared" si="10"/>
        <v>0</v>
      </c>
      <c r="W13" s="36">
        <f t="shared" si="10"/>
        <v>0</v>
      </c>
      <c r="X13" s="36">
        <f t="shared" si="10"/>
        <v>0</v>
      </c>
      <c r="Y13" s="36">
        <f t="shared" si="10"/>
        <v>0</v>
      </c>
      <c r="Z13" s="36">
        <f t="shared" si="10"/>
        <v>0</v>
      </c>
      <c r="AA13" s="36">
        <f t="shared" si="10"/>
        <v>0</v>
      </c>
    </row>
    <row r="14" spans="1:27" ht="15" x14ac:dyDescent="0.25">
      <c r="A14" s="5" t="s">
        <v>31</v>
      </c>
      <c r="B14" s="5"/>
      <c r="C14" s="6">
        <v>0</v>
      </c>
      <c r="D14" s="36">
        <f>C14</f>
        <v>0</v>
      </c>
      <c r="E14" s="36">
        <f t="shared" si="9"/>
        <v>0</v>
      </c>
      <c r="F14" s="36">
        <f t="shared" si="9"/>
        <v>0</v>
      </c>
      <c r="G14" s="36">
        <f t="shared" si="9"/>
        <v>0</v>
      </c>
      <c r="H14" s="36">
        <f t="shared" si="9"/>
        <v>0</v>
      </c>
      <c r="I14" s="36">
        <f t="shared" si="9"/>
        <v>0</v>
      </c>
      <c r="J14" s="36">
        <f t="shared" si="9"/>
        <v>0</v>
      </c>
      <c r="K14" s="36">
        <f t="shared" si="9"/>
        <v>0</v>
      </c>
      <c r="L14" s="36">
        <f t="shared" si="9"/>
        <v>0</v>
      </c>
      <c r="M14" s="36">
        <f t="shared" si="9"/>
        <v>0</v>
      </c>
      <c r="N14" s="36">
        <f t="shared" si="9"/>
        <v>0</v>
      </c>
      <c r="O14" s="36">
        <f t="shared" si="9"/>
        <v>0</v>
      </c>
      <c r="P14" s="36">
        <f t="shared" si="9"/>
        <v>0</v>
      </c>
      <c r="Q14" s="36">
        <f t="shared" si="9"/>
        <v>0</v>
      </c>
      <c r="R14" s="36">
        <f t="shared" si="9"/>
        <v>0</v>
      </c>
      <c r="S14" s="36">
        <f t="shared" si="9"/>
        <v>0</v>
      </c>
      <c r="T14" s="36">
        <f t="shared" si="9"/>
        <v>0</v>
      </c>
      <c r="U14" s="36">
        <f t="shared" si="10"/>
        <v>0</v>
      </c>
      <c r="V14" s="36">
        <f t="shared" si="10"/>
        <v>0</v>
      </c>
      <c r="W14" s="36">
        <f t="shared" si="10"/>
        <v>0</v>
      </c>
      <c r="X14" s="36">
        <f t="shared" si="10"/>
        <v>0</v>
      </c>
      <c r="Y14" s="36">
        <f t="shared" si="10"/>
        <v>0</v>
      </c>
      <c r="Z14" s="36">
        <f t="shared" si="10"/>
        <v>0</v>
      </c>
      <c r="AA14" s="36">
        <f t="shared" si="10"/>
        <v>0</v>
      </c>
    </row>
    <row r="15" spans="1:27" ht="15" x14ac:dyDescent="0.25">
      <c r="A15" s="5" t="s">
        <v>32</v>
      </c>
      <c r="B15" s="5"/>
      <c r="C15" s="6">
        <v>0</v>
      </c>
      <c r="D15" s="36">
        <f>C15</f>
        <v>0</v>
      </c>
      <c r="E15" s="36">
        <f t="shared" si="9"/>
        <v>0</v>
      </c>
      <c r="F15" s="36">
        <f t="shared" si="9"/>
        <v>0</v>
      </c>
      <c r="G15" s="36">
        <f t="shared" si="9"/>
        <v>0</v>
      </c>
      <c r="H15" s="36">
        <f t="shared" si="9"/>
        <v>0</v>
      </c>
      <c r="I15" s="36">
        <f t="shared" si="9"/>
        <v>0</v>
      </c>
      <c r="J15" s="36">
        <f t="shared" si="9"/>
        <v>0</v>
      </c>
      <c r="K15" s="36">
        <f t="shared" si="9"/>
        <v>0</v>
      </c>
      <c r="L15" s="36">
        <f t="shared" si="9"/>
        <v>0</v>
      </c>
      <c r="M15" s="36">
        <f t="shared" si="9"/>
        <v>0</v>
      </c>
      <c r="N15" s="36">
        <f t="shared" si="9"/>
        <v>0</v>
      </c>
      <c r="O15" s="36">
        <f t="shared" si="9"/>
        <v>0</v>
      </c>
      <c r="P15" s="36">
        <f t="shared" si="9"/>
        <v>0</v>
      </c>
      <c r="Q15" s="36">
        <f t="shared" si="9"/>
        <v>0</v>
      </c>
      <c r="R15" s="36">
        <f t="shared" si="9"/>
        <v>0</v>
      </c>
      <c r="S15" s="36">
        <f t="shared" si="9"/>
        <v>0</v>
      </c>
      <c r="T15" s="36">
        <f t="shared" si="9"/>
        <v>0</v>
      </c>
      <c r="U15" s="36">
        <f t="shared" si="10"/>
        <v>0</v>
      </c>
      <c r="V15" s="36">
        <f t="shared" si="10"/>
        <v>0</v>
      </c>
      <c r="W15" s="36">
        <f t="shared" si="10"/>
        <v>0</v>
      </c>
      <c r="X15" s="36">
        <f t="shared" si="10"/>
        <v>0</v>
      </c>
      <c r="Y15" s="36">
        <f t="shared" si="10"/>
        <v>0</v>
      </c>
      <c r="Z15" s="36">
        <f t="shared" si="10"/>
        <v>0</v>
      </c>
      <c r="AA15" s="36">
        <f t="shared" si="10"/>
        <v>0</v>
      </c>
    </row>
    <row r="16" spans="1:27" ht="15" x14ac:dyDescent="0.25">
      <c r="A16" s="5" t="s">
        <v>34</v>
      </c>
      <c r="B16" s="5"/>
      <c r="C16" s="6">
        <v>0</v>
      </c>
      <c r="D16" s="36">
        <f t="shared" ref="D16:D18" si="11">C16</f>
        <v>0</v>
      </c>
      <c r="E16" s="36">
        <f t="shared" si="9"/>
        <v>0</v>
      </c>
      <c r="F16" s="36">
        <f t="shared" si="9"/>
        <v>0</v>
      </c>
      <c r="G16" s="36">
        <f t="shared" si="9"/>
        <v>0</v>
      </c>
      <c r="H16" s="36">
        <f t="shared" si="9"/>
        <v>0</v>
      </c>
      <c r="I16" s="36">
        <f t="shared" si="9"/>
        <v>0</v>
      </c>
      <c r="J16" s="36">
        <f t="shared" si="9"/>
        <v>0</v>
      </c>
      <c r="K16" s="36">
        <f t="shared" si="9"/>
        <v>0</v>
      </c>
      <c r="L16" s="36">
        <f t="shared" si="9"/>
        <v>0</v>
      </c>
      <c r="M16" s="36">
        <f t="shared" si="9"/>
        <v>0</v>
      </c>
      <c r="N16" s="36">
        <f t="shared" si="9"/>
        <v>0</v>
      </c>
      <c r="O16" s="36">
        <f t="shared" si="9"/>
        <v>0</v>
      </c>
      <c r="P16" s="36">
        <f t="shared" si="9"/>
        <v>0</v>
      </c>
      <c r="Q16" s="36">
        <f t="shared" si="9"/>
        <v>0</v>
      </c>
      <c r="R16" s="36">
        <f t="shared" si="9"/>
        <v>0</v>
      </c>
      <c r="S16" s="36">
        <f t="shared" si="9"/>
        <v>0</v>
      </c>
      <c r="T16" s="36">
        <f t="shared" si="9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36">
        <f t="shared" si="10"/>
        <v>0</v>
      </c>
      <c r="Y16" s="36">
        <f t="shared" si="10"/>
        <v>0</v>
      </c>
      <c r="Z16" s="36">
        <f t="shared" si="10"/>
        <v>0</v>
      </c>
      <c r="AA16" s="36">
        <f t="shared" si="10"/>
        <v>0</v>
      </c>
    </row>
    <row r="17" spans="1:27" ht="15" x14ac:dyDescent="0.25">
      <c r="A17" s="5" t="s">
        <v>35</v>
      </c>
      <c r="B17" s="5"/>
      <c r="C17" s="6">
        <v>0</v>
      </c>
      <c r="D17" s="36">
        <f t="shared" si="11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9"/>
        <v>0</v>
      </c>
      <c r="T17" s="36">
        <f t="shared" si="9"/>
        <v>0</v>
      </c>
      <c r="U17" s="36">
        <f t="shared" si="10"/>
        <v>0</v>
      </c>
      <c r="V17" s="36">
        <f t="shared" si="10"/>
        <v>0</v>
      </c>
      <c r="W17" s="36">
        <f t="shared" si="10"/>
        <v>0</v>
      </c>
      <c r="X17" s="36">
        <f t="shared" si="10"/>
        <v>0</v>
      </c>
      <c r="Y17" s="36">
        <f t="shared" si="10"/>
        <v>0</v>
      </c>
      <c r="Z17" s="36">
        <f t="shared" si="10"/>
        <v>0</v>
      </c>
      <c r="AA17" s="36">
        <f t="shared" si="10"/>
        <v>0</v>
      </c>
    </row>
    <row r="18" spans="1:27" ht="15" x14ac:dyDescent="0.25">
      <c r="A18" s="5" t="s">
        <v>39</v>
      </c>
      <c r="B18" s="5"/>
      <c r="C18" s="6">
        <v>0</v>
      </c>
      <c r="D18" s="36">
        <f t="shared" si="11"/>
        <v>0</v>
      </c>
      <c r="E18" s="36">
        <f t="shared" si="9"/>
        <v>0</v>
      </c>
      <c r="F18" s="36">
        <f t="shared" si="9"/>
        <v>0</v>
      </c>
      <c r="G18" s="36">
        <f t="shared" si="9"/>
        <v>0</v>
      </c>
      <c r="H18" s="36">
        <f t="shared" si="9"/>
        <v>0</v>
      </c>
      <c r="I18" s="36">
        <f t="shared" si="9"/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9"/>
        <v>0</v>
      </c>
      <c r="T18" s="36">
        <f t="shared" si="9"/>
        <v>0</v>
      </c>
      <c r="U18" s="36">
        <f t="shared" si="10"/>
        <v>0</v>
      </c>
      <c r="V18" s="36">
        <f t="shared" si="10"/>
        <v>0</v>
      </c>
      <c r="W18" s="36">
        <f t="shared" si="10"/>
        <v>0</v>
      </c>
      <c r="X18" s="36">
        <f t="shared" si="10"/>
        <v>0</v>
      </c>
      <c r="Y18" s="36">
        <f t="shared" si="10"/>
        <v>0</v>
      </c>
      <c r="Z18" s="36">
        <f t="shared" si="10"/>
        <v>0</v>
      </c>
      <c r="AA18" s="36">
        <f t="shared" si="10"/>
        <v>0</v>
      </c>
    </row>
    <row r="19" spans="1:27" ht="15" x14ac:dyDescent="0.25">
      <c r="A19" s="1" t="s">
        <v>33</v>
      </c>
      <c r="B19" s="5"/>
      <c r="C19" s="37">
        <f>SUM(C13:C17)</f>
        <v>0</v>
      </c>
      <c r="D19" s="37">
        <f t="shared" ref="D19:X19" si="12">SUM(D13:D17)</f>
        <v>0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7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37">
        <f t="shared" si="12"/>
        <v>0</v>
      </c>
      <c r="Q19" s="37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7">
        <f t="shared" si="12"/>
        <v>0</v>
      </c>
      <c r="V19" s="37">
        <f t="shared" si="12"/>
        <v>0</v>
      </c>
      <c r="W19" s="37">
        <f t="shared" si="12"/>
        <v>0</v>
      </c>
      <c r="X19" s="37">
        <f t="shared" si="12"/>
        <v>0</v>
      </c>
    </row>
    <row r="20" spans="1:27" ht="15" x14ac:dyDescent="0.25">
      <c r="A20" s="38" t="s">
        <v>37</v>
      </c>
      <c r="B20" s="38" t="s">
        <v>1</v>
      </c>
      <c r="C20" s="39">
        <f t="shared" ref="C20:AA20" ca="1" si="13">C19+C11</f>
        <v>1098</v>
      </c>
      <c r="D20" s="39">
        <f t="shared" ca="1" si="13"/>
        <v>1136</v>
      </c>
      <c r="E20" s="39">
        <f t="shared" ca="1" si="13"/>
        <v>1232</v>
      </c>
      <c r="F20" s="39">
        <f t="shared" ca="1" si="13"/>
        <v>1382</v>
      </c>
      <c r="G20" s="39">
        <f t="shared" ca="1" si="13"/>
        <v>2111</v>
      </c>
      <c r="H20" s="39">
        <f t="shared" ca="1" si="13"/>
        <v>2225.9999999999995</v>
      </c>
      <c r="I20" s="39">
        <f t="shared" ca="1" si="13"/>
        <v>2895.9999999999995</v>
      </c>
      <c r="J20" s="39">
        <f t="shared" ca="1" si="13"/>
        <v>2996.9999999999995</v>
      </c>
      <c r="K20" s="39">
        <f t="shared" ca="1" si="13"/>
        <v>3152.9999999999991</v>
      </c>
      <c r="L20" s="39">
        <f t="shared" ca="1" si="13"/>
        <v>3247.9999999999986</v>
      </c>
      <c r="M20" s="39">
        <f t="shared" ca="1" si="13"/>
        <v>3397.9999999999986</v>
      </c>
      <c r="N20" s="39">
        <f t="shared" ca="1" si="13"/>
        <v>3566.9999999999986</v>
      </c>
      <c r="O20" s="39">
        <f t="shared" ca="1" si="13"/>
        <v>3739.9999999999986</v>
      </c>
      <c r="P20" s="39">
        <f t="shared" ca="1" si="13"/>
        <v>3915.9999999999982</v>
      </c>
      <c r="Q20" s="39">
        <f t="shared" ca="1" si="13"/>
        <v>4096.9999999999982</v>
      </c>
      <c r="R20" s="39">
        <f t="shared" ca="1" si="13"/>
        <v>4281.9999999999982</v>
      </c>
      <c r="S20" s="39">
        <f t="shared" ca="1" si="13"/>
        <v>4450.3942957122435</v>
      </c>
      <c r="T20" s="39">
        <f t="shared" ca="1" si="13"/>
        <v>4625.4108798010466</v>
      </c>
      <c r="U20" s="39">
        <f t="shared" ca="1" si="13"/>
        <v>4807.3101809416003</v>
      </c>
      <c r="V20" s="39">
        <f t="shared" ca="1" si="13"/>
        <v>4996.3628694492991</v>
      </c>
      <c r="W20" s="39">
        <f t="shared" ca="1" si="13"/>
        <v>5192.8502600433494</v>
      </c>
      <c r="X20" s="39">
        <f t="shared" ca="1" si="13"/>
        <v>5397.0647304495033</v>
      </c>
      <c r="Y20" s="39">
        <f t="shared" ca="1" si="13"/>
        <v>7637.0225460816537</v>
      </c>
      <c r="Z20" s="39">
        <f t="shared" ca="1" si="13"/>
        <v>11231.618561801668</v>
      </c>
      <c r="AA20" s="39">
        <f t="shared" ca="1" si="13"/>
        <v>11231.618561801668</v>
      </c>
    </row>
    <row r="21" spans="1:27" ht="15" x14ac:dyDescent="0.25">
      <c r="A21" s="3" t="s">
        <v>87</v>
      </c>
      <c r="B21" s="5" t="s">
        <v>1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7" ht="15" x14ac:dyDescent="0.25">
      <c r="A22" s="3" t="s">
        <v>88</v>
      </c>
      <c r="B22" s="5" t="s">
        <v>1</v>
      </c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5" x14ac:dyDescent="0.25">
      <c r="A23" s="38" t="s">
        <v>90</v>
      </c>
      <c r="B23" s="38" t="s">
        <v>1</v>
      </c>
      <c r="C23" s="39">
        <f>C22+C21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x14ac:dyDescent="0.2">
      <c r="A24" s="3" t="s">
        <v>20</v>
      </c>
    </row>
    <row r="25" spans="1:27" ht="15" x14ac:dyDescent="0.25">
      <c r="A25" s="1" t="s">
        <v>89</v>
      </c>
      <c r="B25" s="5" t="s">
        <v>1</v>
      </c>
      <c r="C25" s="43"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x14ac:dyDescent="0.2">
      <c r="A26" s="1" t="s">
        <v>21</v>
      </c>
      <c r="B26" s="5"/>
      <c r="C26" s="25">
        <f ca="1">(C21+C25)/C11-1</f>
        <v>-1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7" x14ac:dyDescent="0.2">
      <c r="A27" s="1" t="s">
        <v>22</v>
      </c>
      <c r="B27" s="5"/>
      <c r="C27" s="25">
        <f ca="1">(C21+C25-C13)/C11-1</f>
        <v>-1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7" x14ac:dyDescent="0.2">
      <c r="A28" s="1" t="s">
        <v>23</v>
      </c>
      <c r="B28" s="5"/>
      <c r="C28" s="25">
        <f ca="1">C25/C11-1</f>
        <v>-1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7" x14ac:dyDescent="0.2">
      <c r="A29" s="1" t="s">
        <v>24</v>
      </c>
      <c r="B29" s="5"/>
      <c r="C29" s="25">
        <f ca="1">(C25-C13)/C11-1</f>
        <v>-1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7" ht="15" x14ac:dyDescent="0.25">
      <c r="A30" s="1" t="s">
        <v>95</v>
      </c>
      <c r="B30" s="5" t="s">
        <v>1</v>
      </c>
      <c r="C30" s="43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7" x14ac:dyDescent="0.2">
      <c r="A31" s="1" t="s">
        <v>25</v>
      </c>
      <c r="B31" s="5"/>
      <c r="C31" s="25">
        <f ca="1">C30/C11-1</f>
        <v>-1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7" x14ac:dyDescent="0.2">
      <c r="A32" s="1" t="s">
        <v>26</v>
      </c>
      <c r="B32" s="5"/>
      <c r="C32" s="25">
        <f ca="1">(C30-C13)/C11-1</f>
        <v>-1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">
      <c r="A33" s="1" t="s">
        <v>14</v>
      </c>
      <c r="B33" s="2" t="s">
        <v>9</v>
      </c>
      <c r="C33" s="23">
        <f ca="1">C20/(C34*8.76)</f>
        <v>199</v>
      </c>
      <c r="D33" s="23">
        <f ca="1">D20/(D34*8.76)</f>
        <v>199</v>
      </c>
      <c r="E33" s="23">
        <f ca="1">E20/(E34*8.76)</f>
        <v>215.99999999999997</v>
      </c>
      <c r="F33" s="23">
        <f t="shared" ref="F33:X33" ca="1" si="14">F20/(F34*8.76)</f>
        <v>240.00000000000003</v>
      </c>
      <c r="G33" s="23">
        <f t="shared" ca="1" si="14"/>
        <v>346.00000000000006</v>
      </c>
      <c r="H33" s="23">
        <f t="shared" ca="1" si="14"/>
        <v>365.99999999999994</v>
      </c>
      <c r="I33" s="23">
        <f t="shared" ca="1" si="14"/>
        <v>463.99999999999994</v>
      </c>
      <c r="J33" s="23">
        <f t="shared" ca="1" si="14"/>
        <v>481.99999999999994</v>
      </c>
      <c r="K33" s="23">
        <f t="shared" ca="1" si="14"/>
        <v>508.99999999999989</v>
      </c>
      <c r="L33" s="23">
        <f t="shared" ca="1" si="14"/>
        <v>524.99999999999977</v>
      </c>
      <c r="M33" s="23">
        <f t="shared" ca="1" si="14"/>
        <v>549.99999999999977</v>
      </c>
      <c r="N33" s="23">
        <f t="shared" ca="1" si="14"/>
        <v>576.99999999999977</v>
      </c>
      <c r="O33" s="23">
        <f t="shared" ca="1" si="14"/>
        <v>604.99999999999977</v>
      </c>
      <c r="P33" s="23">
        <f t="shared" ca="1" si="14"/>
        <v>633.99999999999977</v>
      </c>
      <c r="Q33" s="23">
        <f t="shared" ca="1" si="14"/>
        <v>662.99999999999966</v>
      </c>
      <c r="R33" s="23">
        <f t="shared" ca="1" si="14"/>
        <v>692.99999999999966</v>
      </c>
      <c r="S33" s="23">
        <f t="shared" ca="1" si="14"/>
        <v>720.25297686328463</v>
      </c>
      <c r="T33" s="23">
        <f t="shared" ca="1" si="14"/>
        <v>748.57770660955748</v>
      </c>
      <c r="U33" s="23">
        <f t="shared" ca="1" si="14"/>
        <v>778.01633708372935</v>
      </c>
      <c r="V33" s="23">
        <f t="shared" ca="1" si="14"/>
        <v>808.61267364043999</v>
      </c>
      <c r="W33" s="23">
        <f t="shared" ca="1" si="14"/>
        <v>840.41224432742672</v>
      </c>
      <c r="X33" s="23">
        <f t="shared" ca="1" si="14"/>
        <v>873.46236763229933</v>
      </c>
    </row>
    <row r="34" spans="1:24" ht="15" x14ac:dyDescent="0.25">
      <c r="A34" s="1" t="s">
        <v>7</v>
      </c>
      <c r="C34" s="77">
        <f ca="1">C41/(C44*8.76)</f>
        <v>0.62986163695188269</v>
      </c>
      <c r="D34" s="77">
        <f ca="1">D41/(D44*8.76)</f>
        <v>0.65166012711961629</v>
      </c>
      <c r="E34" s="77">
        <f t="shared" ref="E34:R34" ca="1" si="15">E41/(E44*8.76)</f>
        <v>0.65110772873329958</v>
      </c>
      <c r="F34" s="77">
        <f t="shared" ca="1" si="15"/>
        <v>0.65734398782343983</v>
      </c>
      <c r="G34" s="77">
        <f t="shared" ca="1" si="15"/>
        <v>0.69647900335207324</v>
      </c>
      <c r="H34" s="77">
        <f t="shared" ca="1" si="15"/>
        <v>0.69428849464780296</v>
      </c>
      <c r="I34" s="77">
        <f t="shared" ca="1" si="15"/>
        <v>0.71248622264210359</v>
      </c>
      <c r="J34" s="77">
        <f t="shared" ca="1" si="15"/>
        <v>0.70979935201500599</v>
      </c>
      <c r="K34" s="77">
        <f t="shared" ca="1" si="15"/>
        <v>0.70713459105955812</v>
      </c>
      <c r="L34" s="77">
        <f t="shared" ca="1" si="15"/>
        <v>0.70624048706240483</v>
      </c>
      <c r="M34" s="77">
        <f t="shared" ca="1" si="15"/>
        <v>0.70527189705271898</v>
      </c>
      <c r="N34" s="77">
        <f t="shared" ca="1" si="15"/>
        <v>0.70570499275895637</v>
      </c>
      <c r="O34" s="77">
        <f t="shared" ca="1" si="15"/>
        <v>0.70568700705687004</v>
      </c>
      <c r="P34" s="77">
        <f t="shared" ca="1" si="15"/>
        <v>0.70509773418031485</v>
      </c>
      <c r="Q34" s="77">
        <f t="shared" ca="1" si="15"/>
        <v>0.70542091090036296</v>
      </c>
      <c r="R34" s="77">
        <f t="shared" ca="1" si="15"/>
        <v>0.70535755467262318</v>
      </c>
      <c r="S34" s="14">
        <f t="shared" ref="S34:X34" ca="1" si="16">R34</f>
        <v>0.70535755467262318</v>
      </c>
      <c r="T34" s="14">
        <f t="shared" ca="1" si="16"/>
        <v>0.70535755467262318</v>
      </c>
      <c r="U34" s="14">
        <f t="shared" ca="1" si="16"/>
        <v>0.70535755467262318</v>
      </c>
      <c r="V34" s="14">
        <f t="shared" ca="1" si="16"/>
        <v>0.70535755467262318</v>
      </c>
      <c r="W34" s="14">
        <f t="shared" ca="1" si="16"/>
        <v>0.70535755467262318</v>
      </c>
      <c r="X34" s="14">
        <f t="shared" ca="1" si="16"/>
        <v>0.70535755467262318</v>
      </c>
    </row>
    <row r="35" spans="1:24" ht="15" x14ac:dyDescent="0.25">
      <c r="A35" s="1" t="s">
        <v>8</v>
      </c>
      <c r="C35" s="15"/>
      <c r="D35" s="15">
        <f t="shared" ref="D35:X35" ca="1" si="17">D33/C33-1</f>
        <v>0</v>
      </c>
      <c r="E35" s="15">
        <f t="shared" ca="1" si="17"/>
        <v>8.5427135678391775E-2</v>
      </c>
      <c r="F35" s="15">
        <f t="shared" ca="1" si="17"/>
        <v>0.11111111111111138</v>
      </c>
      <c r="G35" s="15">
        <f t="shared" ca="1" si="17"/>
        <v>0.44166666666666665</v>
      </c>
      <c r="H35" s="15">
        <f t="shared" ca="1" si="17"/>
        <v>5.7803468208092124E-2</v>
      </c>
      <c r="I35" s="15">
        <f t="shared" ca="1" si="17"/>
        <v>0.26775956284153013</v>
      </c>
      <c r="J35" s="15">
        <f t="shared" ca="1" si="17"/>
        <v>3.8793103448275801E-2</v>
      </c>
      <c r="K35" s="15">
        <f t="shared" ca="1" si="17"/>
        <v>5.6016597510373245E-2</v>
      </c>
      <c r="L35" s="15">
        <f t="shared" ca="1" si="17"/>
        <v>3.1434184675834809E-2</v>
      </c>
      <c r="M35" s="15">
        <f t="shared" ca="1" si="17"/>
        <v>4.7619047619047672E-2</v>
      </c>
      <c r="N35" s="15">
        <f t="shared" ca="1" si="17"/>
        <v>4.9090909090909074E-2</v>
      </c>
      <c r="O35" s="15">
        <f t="shared" ca="1" si="17"/>
        <v>4.8526863084922045E-2</v>
      </c>
      <c r="P35" s="15">
        <f t="shared" ca="1" si="17"/>
        <v>4.7933884297520768E-2</v>
      </c>
      <c r="Q35" s="15">
        <f t="shared" ca="1" si="17"/>
        <v>4.5741324921135584E-2</v>
      </c>
      <c r="R35" s="15">
        <f t="shared" ca="1" si="17"/>
        <v>4.5248868778280604E-2</v>
      </c>
      <c r="S35" s="15">
        <f t="shared" ca="1" si="17"/>
        <v>3.9326084939805162E-2</v>
      </c>
      <c r="T35" s="15">
        <f t="shared" ca="1" si="17"/>
        <v>3.9326084939804939E-2</v>
      </c>
      <c r="U35" s="15">
        <f t="shared" ca="1" si="17"/>
        <v>3.9326084939804939E-2</v>
      </c>
      <c r="V35" s="15">
        <f t="shared" ca="1" si="17"/>
        <v>3.9326084939804939E-2</v>
      </c>
      <c r="W35" s="15">
        <f t="shared" ca="1" si="17"/>
        <v>3.9326084939804939E-2</v>
      </c>
      <c r="X35" s="15">
        <f t="shared" ca="1" si="17"/>
        <v>3.9326084939805162E-2</v>
      </c>
    </row>
    <row r="36" spans="1:24" ht="15" x14ac:dyDescent="0.25">
      <c r="A36" s="1" t="s">
        <v>93</v>
      </c>
      <c r="B36" s="2" t="s">
        <v>9</v>
      </c>
      <c r="C36" s="24">
        <v>0</v>
      </c>
      <c r="D36" s="15"/>
      <c r="E36" s="15"/>
      <c r="F36" s="15"/>
      <c r="G36" s="15"/>
      <c r="H36" s="15"/>
      <c r="I36" s="15"/>
      <c r="J36" s="15"/>
    </row>
    <row r="37" spans="1:24" s="1" customFormat="1" x14ac:dyDescent="0.2">
      <c r="A37" s="1" t="s">
        <v>94</v>
      </c>
      <c r="B37" s="1" t="s">
        <v>9</v>
      </c>
      <c r="C37" s="41">
        <f ca="1">MAX(0,C33-C36)</f>
        <v>199</v>
      </c>
      <c r="D37" s="44">
        <f ca="1">C21/(C34*8.76)</f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4" ht="15" x14ac:dyDescent="0.25">
      <c r="A39" s="3" t="s">
        <v>15</v>
      </c>
      <c r="C39" s="15"/>
      <c r="D39" s="30"/>
      <c r="E39" s="30"/>
      <c r="F39" s="30"/>
      <c r="G39" s="30"/>
      <c r="H39" s="30"/>
      <c r="I39" s="29"/>
      <c r="J39" s="29"/>
    </row>
    <row r="40" spans="1:24" ht="15" x14ac:dyDescent="0.25">
      <c r="A40" s="1" t="s">
        <v>146</v>
      </c>
      <c r="B40" s="26">
        <f>SUMIF(SourceData!A4:A351,B2,SourceData!B4:B351)</f>
        <v>109</v>
      </c>
      <c r="C40" s="15"/>
      <c r="D40" s="74"/>
      <c r="E40" s="30"/>
      <c r="F40" s="30"/>
      <c r="G40" s="30"/>
      <c r="H40" s="30"/>
      <c r="I40" s="29"/>
      <c r="J40" s="29"/>
    </row>
    <row r="41" spans="1:24" ht="15" x14ac:dyDescent="0.25">
      <c r="A41" s="1" t="s">
        <v>91</v>
      </c>
      <c r="B41" s="1" t="s">
        <v>1</v>
      </c>
      <c r="C41" s="74">
        <f ca="1">OFFSET(SourceData!$A$4,$B$40,SourceData!N1)</f>
        <v>1098</v>
      </c>
      <c r="D41" s="74">
        <f ca="1">VALUE(OFFSET(SourceData!$A$4,$B$40+D$2-2011,SourceData!$D$1+General!$B$1))</f>
        <v>1136</v>
      </c>
      <c r="E41" s="74">
        <f ca="1">VALUE(OFFSET(SourceData!$A$4,$B$40+E$2-2011,SourceData!$D$1+General!$B$1))</f>
        <v>1232</v>
      </c>
      <c r="F41" s="74">
        <f ca="1">VALUE(OFFSET(SourceData!$A$4,$B$40+F$2-2011,SourceData!$D$1+General!$B$1))</f>
        <v>1382</v>
      </c>
      <c r="G41" s="74">
        <f ca="1">VALUE(OFFSET(SourceData!$A$4,$B$40+G$2-2011,SourceData!$D$1+General!$B$1))</f>
        <v>2111</v>
      </c>
      <c r="H41" s="74">
        <f ca="1">VALUE(OFFSET(SourceData!$A$4,$B$40+H$2-2011,SourceData!$D$1+General!$B$1))</f>
        <v>2226</v>
      </c>
      <c r="I41" s="74">
        <f ca="1">VALUE(OFFSET(SourceData!$A$4,$B$40+I$2-2011,SourceData!$D$1+General!$B$1))</f>
        <v>2896</v>
      </c>
      <c r="J41" s="74">
        <f ca="1">VALUE(OFFSET(SourceData!$A$4,$B$40+J$2-2011,SourceData!$D$1+General!$B$1))</f>
        <v>2997</v>
      </c>
      <c r="K41" s="74">
        <f ca="1">VALUE(OFFSET(SourceData!$A$4,$B$40+K$2-2011,SourceData!$D$1+General!$B$1))</f>
        <v>3153</v>
      </c>
      <c r="L41" s="74">
        <f ca="1">VALUE(OFFSET(SourceData!$A$4,$B$40+L$2-2011,SourceData!$D$1+General!$B$1))</f>
        <v>3248</v>
      </c>
      <c r="M41" s="74">
        <f ca="1">VALUE(OFFSET(SourceData!$A$4,$B$40+M$2-2011,SourceData!$D$1+General!$B$1))</f>
        <v>3398</v>
      </c>
      <c r="N41" s="74">
        <f ca="1">VALUE(OFFSET(SourceData!$A$4,$B$40+N$2-2011,SourceData!$D$1+General!$B$1))</f>
        <v>3567</v>
      </c>
      <c r="O41" s="74">
        <f ca="1">VALUE(OFFSET(SourceData!$A$4,$B$40+O$2-2011,SourceData!$D$1+General!$B$1))</f>
        <v>3740</v>
      </c>
      <c r="P41" s="74">
        <f ca="1">VALUE(OFFSET(SourceData!$A$4,$B$40+P$2-2011,SourceData!$D$1+General!$B$1))</f>
        <v>3916</v>
      </c>
      <c r="Q41" s="74">
        <f ca="1">VALUE(OFFSET(SourceData!$A$4,$B$40+Q$2-2011,SourceData!$D$1+General!$B$1))</f>
        <v>4097</v>
      </c>
      <c r="R41" s="74">
        <f ca="1">VALUE(OFFSET(SourceData!$A$4,$B$40+R$2-2011,SourceData!$D$1+General!$B$1))</f>
        <v>4282</v>
      </c>
      <c r="S41" s="20"/>
      <c r="T41" s="20"/>
    </row>
    <row r="42" spans="1:24" ht="15" x14ac:dyDescent="0.25">
      <c r="A42" s="1" t="s">
        <v>10</v>
      </c>
      <c r="B42" s="1"/>
      <c r="D42" s="21">
        <f ca="1">D41/C41-1</f>
        <v>3.4608378870673917E-2</v>
      </c>
      <c r="E42" s="21">
        <f t="shared" ref="E42:R42" ca="1" si="18">E41/D41-1</f>
        <v>8.4507042253521236E-2</v>
      </c>
      <c r="F42" s="21">
        <f t="shared" ca="1" si="18"/>
        <v>0.12175324675324672</v>
      </c>
      <c r="G42" s="21">
        <f t="shared" ca="1" si="18"/>
        <v>0.52749638205499272</v>
      </c>
      <c r="H42" s="21">
        <f t="shared" ca="1" si="18"/>
        <v>5.4476551397441897E-2</v>
      </c>
      <c r="I42" s="21">
        <f t="shared" ca="1" si="18"/>
        <v>0.30098831985624441</v>
      </c>
      <c r="J42" s="21">
        <f t="shared" ca="1" si="18"/>
        <v>3.4875690607734766E-2</v>
      </c>
      <c r="K42" s="21">
        <f t="shared" ca="1" si="18"/>
        <v>5.2052052052051989E-2</v>
      </c>
      <c r="L42" s="21">
        <f t="shared" ca="1" si="18"/>
        <v>3.013003488740873E-2</v>
      </c>
      <c r="M42" s="21">
        <f t="shared" ca="1" si="18"/>
        <v>4.6182266009852313E-2</v>
      </c>
      <c r="N42" s="21">
        <f t="shared" ca="1" si="18"/>
        <v>4.9735138316656879E-2</v>
      </c>
      <c r="O42" s="21">
        <f t="shared" ca="1" si="18"/>
        <v>4.8500140173815431E-2</v>
      </c>
      <c r="P42" s="21">
        <f t="shared" ca="1" si="18"/>
        <v>4.705882352941182E-2</v>
      </c>
      <c r="Q42" s="21">
        <f t="shared" ca="1" si="18"/>
        <v>4.6220633299284941E-2</v>
      </c>
      <c r="R42" s="21">
        <f t="shared" ca="1" si="18"/>
        <v>4.515499145716384E-2</v>
      </c>
      <c r="S42" s="17"/>
      <c r="T42" s="17"/>
      <c r="U42" s="4"/>
    </row>
    <row r="43" spans="1:24" ht="15" x14ac:dyDescent="0.25">
      <c r="A43" s="1"/>
      <c r="B43" s="1"/>
      <c r="C43" s="16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4" ht="15" x14ac:dyDescent="0.25">
      <c r="A44" s="1" t="s">
        <v>92</v>
      </c>
      <c r="B44" s="1" t="s">
        <v>9</v>
      </c>
      <c r="C44" s="74">
        <f ca="1">OFFSET(SourceData!$A$4,$B$40,SourceData!O1)</f>
        <v>199</v>
      </c>
      <c r="D44" s="74">
        <f ca="1">VALUE(OFFSET(SourceData!$A$4,$B$40+D$2-2011,SourceData!$J$1+General!$B$1))</f>
        <v>199</v>
      </c>
      <c r="E44" s="74">
        <f ca="1">VALUE(OFFSET(SourceData!$A$4,$B$40+E$2-2011,SourceData!$J$1+General!$B$1))</f>
        <v>216</v>
      </c>
      <c r="F44" s="74">
        <f ca="1">VALUE(OFFSET(SourceData!$A$4,$B$40+F$2-2011,SourceData!$J$1+General!$B$1))</f>
        <v>240</v>
      </c>
      <c r="G44" s="74">
        <f ca="1">VALUE(OFFSET(SourceData!$A$4,$B$40+G$2-2011,SourceData!$J$1+General!$B$1))</f>
        <v>346</v>
      </c>
      <c r="H44" s="74">
        <f ca="1">VALUE(OFFSET(SourceData!$A$4,$B$40+H$2-2011,SourceData!$J$1+General!$B$1))</f>
        <v>366</v>
      </c>
      <c r="I44" s="74">
        <f ca="1">VALUE(OFFSET(SourceData!$A$4,$B$40+I$2-2011,SourceData!$J$1+General!$B$1))</f>
        <v>464</v>
      </c>
      <c r="J44" s="74">
        <f ca="1">VALUE(OFFSET(SourceData!$A$4,$B$40+J$2-2011,SourceData!$J$1+General!$B$1))</f>
        <v>482</v>
      </c>
      <c r="K44" s="74">
        <f ca="1">VALUE(OFFSET(SourceData!$A$4,$B$40+K$2-2011,SourceData!$J$1+General!$B$1))</f>
        <v>509</v>
      </c>
      <c r="L44" s="74">
        <f ca="1">VALUE(OFFSET(SourceData!$A$4,$B$40+L$2-2011,SourceData!$J$1+General!$B$1))</f>
        <v>525</v>
      </c>
      <c r="M44" s="74">
        <f ca="1">VALUE(OFFSET(SourceData!$A$4,$B$40+M$2-2011,SourceData!$J$1+General!$B$1))</f>
        <v>550</v>
      </c>
      <c r="N44" s="74">
        <f ca="1">VALUE(OFFSET(SourceData!$A$4,$B$40+N$2-2011,SourceData!$J$1+General!$B$1))</f>
        <v>577</v>
      </c>
      <c r="O44" s="74">
        <f ca="1">VALUE(OFFSET(SourceData!$A$4,$B$40+O$2-2011,SourceData!$J$1+General!$B$1))</f>
        <v>605</v>
      </c>
      <c r="P44" s="74">
        <f ca="1">VALUE(OFFSET(SourceData!$A$4,$B$40+P$2-2011,SourceData!$J$1+General!$B$1))</f>
        <v>634</v>
      </c>
      <c r="Q44" s="74">
        <f ca="1">VALUE(OFFSET(SourceData!$A$4,$B$40+Q$2-2011,SourceData!$J$1+General!$B$1))</f>
        <v>663</v>
      </c>
      <c r="R44" s="74">
        <f ca="1">VALUE(OFFSET(SourceData!$A$4,$B$40+R$2-2011,SourceData!$J$1+General!$B$1))</f>
        <v>693</v>
      </c>
      <c r="S44"/>
      <c r="T44"/>
      <c r="U44"/>
    </row>
    <row r="45" spans="1:24" x14ac:dyDescent="0.2">
      <c r="A45" s="1" t="s">
        <v>10</v>
      </c>
      <c r="B45" s="1" t="s">
        <v>11</v>
      </c>
      <c r="D45" s="17">
        <f ca="1">D44/C44-1</f>
        <v>0</v>
      </c>
      <c r="E45" s="17">
        <f t="shared" ref="E45:R45" ca="1" si="19">E44/D44-1</f>
        <v>8.5427135678391997E-2</v>
      </c>
      <c r="F45" s="17">
        <f t="shared" ca="1" si="19"/>
        <v>0.11111111111111116</v>
      </c>
      <c r="G45" s="17">
        <f t="shared" ca="1" si="19"/>
        <v>0.44166666666666665</v>
      </c>
      <c r="H45" s="17">
        <f t="shared" ca="1" si="19"/>
        <v>5.7803468208092568E-2</v>
      </c>
      <c r="I45" s="17">
        <f t="shared" ca="1" si="19"/>
        <v>0.26775956284153013</v>
      </c>
      <c r="J45" s="17">
        <f t="shared" ca="1" si="19"/>
        <v>3.8793103448275801E-2</v>
      </c>
      <c r="K45" s="17">
        <f t="shared" ca="1" si="19"/>
        <v>5.6016597510373467E-2</v>
      </c>
      <c r="L45" s="17">
        <f t="shared" ca="1" si="19"/>
        <v>3.1434184675835031E-2</v>
      </c>
      <c r="M45" s="17">
        <f t="shared" ca="1" si="19"/>
        <v>4.7619047619047672E-2</v>
      </c>
      <c r="N45" s="17">
        <f t="shared" ca="1" si="19"/>
        <v>4.9090909090909074E-2</v>
      </c>
      <c r="O45" s="17">
        <f t="shared" ca="1" si="19"/>
        <v>4.8526863084922045E-2</v>
      </c>
      <c r="P45" s="17">
        <f t="shared" ca="1" si="19"/>
        <v>4.7933884297520768E-2</v>
      </c>
      <c r="Q45" s="17">
        <f t="shared" ca="1" si="19"/>
        <v>4.5741324921135584E-2</v>
      </c>
      <c r="R45" s="17">
        <f t="shared" ca="1" si="19"/>
        <v>4.5248868778280604E-2</v>
      </c>
      <c r="S45" s="17"/>
      <c r="T45" s="17"/>
      <c r="U45" s="17"/>
    </row>
    <row r="46" spans="1:24" ht="15" x14ac:dyDescent="0.25">
      <c r="A46" s="1" t="s">
        <v>52</v>
      </c>
      <c r="B46" s="1" t="s">
        <v>1</v>
      </c>
      <c r="C46" s="74">
        <f ca="1">OFFSET(SourceData!$A$4,$B$40,SourceData!Q$1)</f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4" ht="15" x14ac:dyDescent="0.25">
      <c r="A47" s="1" t="s">
        <v>158</v>
      </c>
      <c r="B47" s="1" t="s">
        <v>1</v>
      </c>
      <c r="C47" s="74">
        <f ca="1">OFFSET(SourceData!$A$4,$B$40,SourceData!R$1)</f>
        <v>0</v>
      </c>
      <c r="D47" s="74">
        <f ca="1">VALUE(OFFSET(SourceData!$A$4,$B$40+D$2-2011,SourceData!$U$1+General!$B$1))</f>
        <v>0</v>
      </c>
      <c r="E47" s="74">
        <f ca="1">VALUE(OFFSET(SourceData!$A$4,$B$40+E$2-2011,SourceData!$U$1+General!$B$1))</f>
        <v>0</v>
      </c>
      <c r="F47" s="74">
        <f ca="1">VALUE(OFFSET(SourceData!$A$4,$B$40+F$2-2011,SourceData!$U$1+General!$B$1))</f>
        <v>0</v>
      </c>
      <c r="G47" s="74">
        <f ca="1">VALUE(OFFSET(SourceData!$A$4,$B$40+G$2-2011,SourceData!$U$1+General!$B$1))</f>
        <v>0</v>
      </c>
      <c r="H47" s="74">
        <f ca="1">VALUE(OFFSET(SourceData!$A$4,$B$40+H$2-2011,SourceData!$U$1+General!$B$1))</f>
        <v>0</v>
      </c>
      <c r="I47" s="74">
        <f ca="1">VALUE(OFFSET(SourceData!$A$4,$B$40+I$2-2011,SourceData!$U$1+General!$B$1))</f>
        <v>0</v>
      </c>
      <c r="J47" s="74">
        <f ca="1">VALUE(OFFSET(SourceData!$A$4,$B$40+J$2-2011,SourceData!$U$1+General!$B$1))</f>
        <v>0</v>
      </c>
      <c r="K47" s="74">
        <f ca="1">VALUE(OFFSET(SourceData!$A$4,$B$40+K$2-2011,SourceData!$U$1+General!$B$1))</f>
        <v>0</v>
      </c>
      <c r="L47" s="74">
        <f ca="1">VALUE(OFFSET(SourceData!$A$4,$B$40+L$2-2011,SourceData!$U$1+General!$B$1))</f>
        <v>0</v>
      </c>
      <c r="M47" s="74">
        <f ca="1">VALUE(OFFSET(SourceData!$A$4,$B$40+M$2-2011,SourceData!$U$1+General!$B$1))</f>
        <v>0</v>
      </c>
      <c r="N47" s="74">
        <f ca="1">VALUE(OFFSET(SourceData!$A$4,$B$40+N$2-2011,SourceData!$U$1+General!$B$1))</f>
        <v>0</v>
      </c>
      <c r="O47" s="74">
        <f ca="1">VALUE(OFFSET(SourceData!$A$4,$B$40+O$2-2011,SourceData!$U$1+General!$B$1))</f>
        <v>0</v>
      </c>
      <c r="P47" s="74">
        <f ca="1">VALUE(OFFSET(SourceData!$A$4,$B$40+P$2-2011,SourceData!$U$1+General!$B$1))</f>
        <v>0</v>
      </c>
      <c r="Q47" s="74">
        <f ca="1">VALUE(OFFSET(SourceData!$A$4,$B$40+Q$2-2011,SourceData!$U$1+General!$B$1))</f>
        <v>0</v>
      </c>
      <c r="R47" s="74">
        <f ca="1">VALUE(OFFSET(SourceData!$A$4,$B$40+R$2-2011,SourceData!$U$1+General!$B$1))</f>
        <v>0</v>
      </c>
      <c r="S47" s="16"/>
      <c r="T47" s="16"/>
    </row>
    <row r="48" spans="1:24" ht="15" x14ac:dyDescent="0.25">
      <c r="A48" s="1"/>
      <c r="B48" s="1"/>
      <c r="C48" s="43"/>
    </row>
    <row r="50" spans="1:1" x14ac:dyDescent="0.2">
      <c r="A50" s="3" t="s">
        <v>13</v>
      </c>
    </row>
    <row r="51" spans="1:1" x14ac:dyDescent="0.2">
      <c r="A51" s="2" t="s">
        <v>153</v>
      </c>
    </row>
  </sheetData>
  <dataValidations count="2">
    <dataValidation type="list" allowBlank="1" showInputMessage="1" showErrorMessage="1" sqref="B19">
      <formula1>#REF!</formula1>
    </dataValidation>
    <dataValidation showDropDown="1" showInputMessage="1" showErrorMessage="1" sqref="B40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General!$B$9:$B$23</xm:f>
          </x14:formula1>
          <xm:sqref>B13:B18</xm:sqref>
        </x14:dataValidation>
        <x14:dataValidation type="list" allowBlank="1" showInputMessage="1" showErrorMessage="1">
          <x14:formula1>
            <xm:f>General!A9:A23</xm:f>
          </x14:formula1>
          <xm:sqref>A2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03E42DA0CC9E41AE51D3E789C1BD78" ma:contentTypeVersion="2" ma:contentTypeDescription="Create a new document." ma:contentTypeScope="" ma:versionID="92f25c4f92432b440149d538d9ecad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02FF3-BBF6-4F30-912E-3234926AA10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790BA2C-F8BA-4E3C-AB40-B24119583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B9BF42-9BD1-458E-888A-10F5A1310AD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4D0C993-9C83-42C9-B720-EDDB87F50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General</vt:lpstr>
      <vt:lpstr>SEN</vt:lpstr>
      <vt:lpstr>GHA</vt:lpstr>
      <vt:lpstr>GAM</vt:lpstr>
      <vt:lpstr>GBI</vt:lpstr>
      <vt:lpstr>GUI</vt:lpstr>
      <vt:lpstr>SIE</vt:lpstr>
      <vt:lpstr>LIB</vt:lpstr>
      <vt:lpstr>MAL</vt:lpstr>
      <vt:lpstr>CIV</vt:lpstr>
      <vt:lpstr>extrapolation CIV</vt:lpstr>
      <vt:lpstr>TBN</vt:lpstr>
      <vt:lpstr>BUR</vt:lpstr>
      <vt:lpstr>NIG</vt:lpstr>
      <vt:lpstr>NGA</vt:lpstr>
      <vt:lpstr>GHA-NGA extrapolations</vt:lpstr>
      <vt:lpstr>SourceData</vt:lpstr>
      <vt:lpstr>MSG_Demand</vt:lpstr>
      <vt:lpstr>MSG_Imps_Losses</vt:lpstr>
      <vt:lpstr>For model</vt:lpstr>
      <vt:lpstr>DemandBreakdown</vt:lpstr>
      <vt:lpstr>Available Data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Asami Miketa</cp:lastModifiedBy>
  <dcterms:created xsi:type="dcterms:W3CDTF">2009-11-05T12:31:13Z</dcterms:created>
  <dcterms:modified xsi:type="dcterms:W3CDTF">2013-05-28T19:01:07Z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214840173721313</vt:r8>
  </property>
  <property fmtid="{D5CDD505-2E9C-101B-9397-08002B2CF9AE}" pid="3" name="ContentTypeId">
    <vt:lpwstr>0x010100C603E42DA0CC9E41AE51D3E789C1BD78</vt:lpwstr>
  </property>
</Properties>
</file>