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15" yWindow="105" windowWidth="21180" windowHeight="11760" firstSheet="2" activeTab="10"/>
  </bookViews>
  <sheets>
    <sheet name="Exist_Raw" sheetId="3" r:id="rId1"/>
    <sheet name="MSG_Exist" sheetId="6" r:id="rId2"/>
    <sheet name="adb_exist" sheetId="9" r:id="rId3"/>
    <sheet name="adb_exist2" sheetId="11" r:id="rId4"/>
    <sheet name="New_Raw" sheetId="4" r:id="rId5"/>
    <sheet name="MSG_New" sheetId="8" r:id="rId6"/>
    <sheet name="adb_new" sheetId="12" r:id="rId7"/>
    <sheet name="adb_new2" sheetId="13" r:id="rId8"/>
    <sheet name="DistTables" sheetId="1" r:id="rId9"/>
    <sheet name="energyforms" sheetId="10" r:id="rId10"/>
    <sheet name="OutputTables" sheetId="16" r:id="rId11"/>
  </sheets>
  <externalReferences>
    <externalReference r:id="rId1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1832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nergyForms">[1]NameConvs!$A$81:$B$89</definedName>
    <definedName name="Pal_Workbook_GUID" hidden="1">"AVZZV84A2FYXLUGE5193KCXK"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alcMode="manual" concurrentCalc="0"/>
</workbook>
</file>

<file path=xl/calcChain.xml><?xml version="1.0" encoding="utf-8"?>
<calcChain xmlns="http://schemas.openxmlformats.org/spreadsheetml/2006/main">
  <c r="G58" i="16" l="1"/>
  <c r="G56" i="16"/>
  <c r="G54" i="16"/>
  <c r="G52" i="16"/>
  <c r="G49" i="16"/>
  <c r="G48" i="16"/>
  <c r="G43" i="16"/>
  <c r="G42" i="16"/>
  <c r="G41" i="16"/>
  <c r="G40" i="16"/>
  <c r="G36" i="16"/>
  <c r="G35" i="16"/>
  <c r="G34" i="16"/>
  <c r="G31" i="16"/>
  <c r="G30" i="16"/>
  <c r="G27" i="16"/>
  <c r="G26" i="16"/>
  <c r="G19" i="16"/>
  <c r="G20" i="16"/>
  <c r="G21" i="16"/>
  <c r="G18" i="16"/>
  <c r="G15" i="16"/>
  <c r="G14" i="16"/>
  <c r="F57" i="16"/>
  <c r="E57" i="16"/>
  <c r="D57" i="16"/>
  <c r="C57" i="16"/>
  <c r="B57" i="16"/>
  <c r="F56" i="16"/>
  <c r="E56" i="16"/>
  <c r="D56" i="16"/>
  <c r="C56" i="16"/>
  <c r="B56" i="16"/>
  <c r="F55" i="16"/>
  <c r="E55" i="16"/>
  <c r="D55" i="16"/>
  <c r="C55" i="16"/>
  <c r="B55" i="16"/>
  <c r="F54" i="16"/>
  <c r="E54" i="16"/>
  <c r="D54" i="16"/>
  <c r="C54" i="16"/>
  <c r="B54" i="16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B425" i="12"/>
  <c r="D428" i="12"/>
  <c r="A428" i="13"/>
  <c r="E429" i="12"/>
  <c r="A429" i="13"/>
  <c r="E430" i="12"/>
  <c r="A430" i="13"/>
  <c r="E431" i="12"/>
  <c r="A431" i="13"/>
  <c r="F432" i="12"/>
  <c r="C432" i="12"/>
  <c r="D432" i="12"/>
  <c r="E432" i="12"/>
  <c r="A432" i="13"/>
  <c r="F433" i="12"/>
  <c r="A433" i="13"/>
  <c r="D434" i="12"/>
  <c r="F434" i="12"/>
  <c r="A434" i="13"/>
  <c r="A435" i="13"/>
  <c r="A436" i="13"/>
  <c r="A437" i="13"/>
  <c r="B438" i="12"/>
  <c r="C438" i="12"/>
  <c r="A438" i="13"/>
  <c r="D439" i="12"/>
  <c r="E439" i="12"/>
  <c r="A439" i="13"/>
  <c r="D440" i="12"/>
  <c r="F440" i="12"/>
  <c r="A440" i="13"/>
  <c r="D441" i="12"/>
  <c r="A441" i="13"/>
  <c r="E442" i="12"/>
  <c r="A442" i="13"/>
  <c r="E443" i="12"/>
  <c r="A443" i="13"/>
  <c r="E444" i="12"/>
  <c r="A444" i="13"/>
  <c r="F445" i="12"/>
  <c r="C445" i="12"/>
  <c r="D445" i="12"/>
  <c r="E445" i="12"/>
  <c r="A445" i="13"/>
  <c r="F446" i="12"/>
  <c r="A446" i="13"/>
  <c r="D447" i="12"/>
  <c r="F447" i="12"/>
  <c r="A447" i="13"/>
  <c r="A448" i="13"/>
  <c r="A449" i="13"/>
  <c r="B450" i="12"/>
  <c r="C450" i="12"/>
  <c r="A450" i="13"/>
  <c r="D451" i="12"/>
  <c r="E451" i="12"/>
  <c r="A451" i="13"/>
  <c r="D452" i="12"/>
  <c r="F452" i="12"/>
  <c r="A452" i="13"/>
  <c r="D453" i="12"/>
  <c r="A453" i="13"/>
  <c r="E454" i="12"/>
  <c r="A454" i="13"/>
  <c r="E455" i="12"/>
  <c r="A455" i="13"/>
  <c r="E456" i="12"/>
  <c r="A456" i="13"/>
  <c r="F457" i="12"/>
  <c r="C457" i="12"/>
  <c r="D457" i="12"/>
  <c r="E457" i="12"/>
  <c r="A457" i="13"/>
  <c r="F458" i="12"/>
  <c r="A458" i="13"/>
  <c r="D459" i="12"/>
  <c r="F459" i="12"/>
  <c r="A459" i="13"/>
  <c r="A460" i="13"/>
  <c r="A10" i="13"/>
  <c r="A11" i="13"/>
  <c r="B12" i="12"/>
  <c r="C12" i="12"/>
  <c r="A12" i="13"/>
  <c r="D13" i="12"/>
  <c r="E13" i="12"/>
  <c r="A13" i="13"/>
  <c r="D14" i="12"/>
  <c r="F14" i="12"/>
  <c r="A14" i="13"/>
  <c r="E15" i="12"/>
  <c r="A15" i="13"/>
  <c r="E16" i="12"/>
  <c r="A16" i="13"/>
  <c r="E17" i="12"/>
  <c r="A17" i="13"/>
  <c r="F18" i="12"/>
  <c r="A18" i="13"/>
  <c r="A19" i="13"/>
  <c r="A20" i="13"/>
  <c r="B21" i="12"/>
  <c r="C21" i="12"/>
  <c r="A21" i="13"/>
  <c r="D22" i="12"/>
  <c r="E22" i="12"/>
  <c r="A22" i="13"/>
  <c r="D23" i="12"/>
  <c r="F23" i="12"/>
  <c r="A23" i="13"/>
  <c r="E24" i="12"/>
  <c r="A24" i="13"/>
  <c r="E25" i="12"/>
  <c r="A25" i="13"/>
  <c r="E26" i="12"/>
  <c r="A26" i="13"/>
  <c r="F27" i="12"/>
  <c r="A27" i="13"/>
  <c r="A28" i="13"/>
  <c r="A29" i="13"/>
  <c r="B30" i="12"/>
  <c r="C30" i="12"/>
  <c r="A30" i="13"/>
  <c r="D31" i="12"/>
  <c r="E31" i="12"/>
  <c r="A31" i="13"/>
  <c r="D32" i="12"/>
  <c r="F32" i="12"/>
  <c r="A32" i="13"/>
  <c r="E33" i="12"/>
  <c r="A33" i="13"/>
  <c r="E34" i="12"/>
  <c r="A34" i="13"/>
  <c r="E35" i="12"/>
  <c r="A35" i="13"/>
  <c r="F36" i="12"/>
  <c r="A36" i="13"/>
  <c r="A37" i="13"/>
  <c r="A38" i="13"/>
  <c r="A39" i="13"/>
  <c r="B40" i="12"/>
  <c r="C40" i="12"/>
  <c r="A40" i="13"/>
  <c r="D41" i="12"/>
  <c r="E41" i="12"/>
  <c r="A41" i="13"/>
  <c r="D42" i="12"/>
  <c r="F42" i="12"/>
  <c r="A42" i="13"/>
  <c r="E43" i="12"/>
  <c r="A43" i="13"/>
  <c r="E44" i="12"/>
  <c r="A44" i="13"/>
  <c r="E45" i="12"/>
  <c r="A45" i="13"/>
  <c r="F46" i="12"/>
  <c r="A46" i="13"/>
  <c r="A47" i="13"/>
  <c r="A48" i="13"/>
  <c r="B49" i="12"/>
  <c r="C49" i="12"/>
  <c r="A49" i="13"/>
  <c r="D50" i="12"/>
  <c r="E50" i="12"/>
  <c r="A50" i="13"/>
  <c r="D51" i="12"/>
  <c r="F51" i="12"/>
  <c r="A51" i="13"/>
  <c r="E52" i="12"/>
  <c r="A52" i="13"/>
  <c r="E53" i="12"/>
  <c r="A53" i="13"/>
  <c r="E54" i="12"/>
  <c r="A54" i="13"/>
  <c r="F55" i="12"/>
  <c r="A55" i="13"/>
  <c r="A56" i="13"/>
  <c r="A57" i="13"/>
  <c r="B58" i="12"/>
  <c r="C58" i="12"/>
  <c r="A58" i="13"/>
  <c r="D59" i="12"/>
  <c r="E59" i="12"/>
  <c r="A59" i="13"/>
  <c r="D60" i="12"/>
  <c r="F60" i="12"/>
  <c r="A60" i="13"/>
  <c r="E61" i="12"/>
  <c r="A61" i="13"/>
  <c r="E62" i="12"/>
  <c r="A62" i="13"/>
  <c r="E63" i="12"/>
  <c r="A63" i="13"/>
  <c r="F64" i="12"/>
  <c r="A64" i="13"/>
  <c r="A65" i="13"/>
  <c r="A66" i="13"/>
  <c r="B67" i="12"/>
  <c r="C67" i="12"/>
  <c r="A67" i="13"/>
  <c r="D68" i="12"/>
  <c r="E68" i="12"/>
  <c r="A68" i="13"/>
  <c r="D69" i="12"/>
  <c r="F69" i="12"/>
  <c r="A69" i="13"/>
  <c r="E70" i="12"/>
  <c r="A70" i="13"/>
  <c r="E71" i="12"/>
  <c r="A71" i="13"/>
  <c r="E72" i="12"/>
  <c r="A72" i="13"/>
  <c r="F73" i="12"/>
  <c r="A73" i="13"/>
  <c r="A74" i="13"/>
  <c r="A75" i="13"/>
  <c r="B76" i="12"/>
  <c r="C76" i="12"/>
  <c r="A76" i="13"/>
  <c r="D77" i="12"/>
  <c r="E77" i="12"/>
  <c r="A77" i="13"/>
  <c r="D78" i="12"/>
  <c r="F78" i="12"/>
  <c r="A78" i="13"/>
  <c r="E79" i="12"/>
  <c r="A79" i="13"/>
  <c r="E80" i="12"/>
  <c r="A80" i="13"/>
  <c r="E81" i="12"/>
  <c r="A81" i="13"/>
  <c r="F82" i="12"/>
  <c r="A82" i="13"/>
  <c r="A83" i="13"/>
  <c r="A84" i="13"/>
  <c r="B85" i="12"/>
  <c r="C85" i="12"/>
  <c r="A85" i="13"/>
  <c r="D86" i="12"/>
  <c r="E86" i="12"/>
  <c r="A86" i="13"/>
  <c r="D87" i="12"/>
  <c r="F87" i="12"/>
  <c r="A87" i="13"/>
  <c r="E88" i="12"/>
  <c r="A88" i="13"/>
  <c r="E89" i="12"/>
  <c r="A89" i="13"/>
  <c r="E90" i="12"/>
  <c r="A90" i="13"/>
  <c r="F91" i="12"/>
  <c r="A91" i="13"/>
  <c r="A92" i="13"/>
  <c r="A93" i="13"/>
  <c r="B94" i="12"/>
  <c r="C94" i="12"/>
  <c r="A94" i="13"/>
  <c r="D95" i="12"/>
  <c r="E95" i="12"/>
  <c r="A95" i="13"/>
  <c r="D96" i="12"/>
  <c r="F96" i="12"/>
  <c r="A96" i="13"/>
  <c r="E97" i="12"/>
  <c r="A97" i="13"/>
  <c r="E98" i="12"/>
  <c r="A98" i="13"/>
  <c r="E99" i="12"/>
  <c r="A99" i="13"/>
  <c r="F100" i="12"/>
  <c r="A100" i="13"/>
  <c r="A101" i="13"/>
  <c r="A102" i="13"/>
  <c r="B103" i="12"/>
  <c r="C103" i="12"/>
  <c r="A103" i="13"/>
  <c r="D104" i="12"/>
  <c r="E104" i="12"/>
  <c r="A104" i="13"/>
  <c r="D105" i="12"/>
  <c r="F105" i="12"/>
  <c r="A105" i="13"/>
  <c r="E106" i="12"/>
  <c r="A106" i="13"/>
  <c r="E107" i="12"/>
  <c r="A107" i="13"/>
  <c r="E108" i="12"/>
  <c r="A108" i="13"/>
  <c r="F109" i="12"/>
  <c r="A109" i="13"/>
  <c r="A110" i="13"/>
  <c r="A111" i="13"/>
  <c r="A112" i="13"/>
  <c r="B113" i="12"/>
  <c r="C113" i="12"/>
  <c r="A113" i="13"/>
  <c r="D114" i="12"/>
  <c r="E114" i="12"/>
  <c r="A114" i="13"/>
  <c r="D115" i="12"/>
  <c r="F115" i="12"/>
  <c r="A115" i="13"/>
  <c r="E116" i="12"/>
  <c r="A116" i="13"/>
  <c r="E117" i="12"/>
  <c r="A117" i="13"/>
  <c r="E118" i="12"/>
  <c r="A118" i="13"/>
  <c r="F119" i="12"/>
  <c r="A119" i="13"/>
  <c r="A120" i="13"/>
  <c r="A121" i="13"/>
  <c r="B122" i="12"/>
  <c r="C122" i="12"/>
  <c r="A122" i="13"/>
  <c r="D123" i="12"/>
  <c r="E123" i="12"/>
  <c r="A123" i="13"/>
  <c r="D124" i="12"/>
  <c r="F124" i="12"/>
  <c r="A124" i="13"/>
  <c r="E125" i="12"/>
  <c r="A125" i="13"/>
  <c r="E126" i="12"/>
  <c r="A126" i="13"/>
  <c r="E127" i="12"/>
  <c r="A127" i="13"/>
  <c r="F128" i="12"/>
  <c r="A128" i="13"/>
  <c r="A129" i="13"/>
  <c r="A130" i="13"/>
  <c r="B131" i="12"/>
  <c r="C131" i="12"/>
  <c r="A131" i="13"/>
  <c r="D132" i="12"/>
  <c r="E132" i="12"/>
  <c r="A132" i="13"/>
  <c r="D133" i="12"/>
  <c r="F133" i="12"/>
  <c r="A133" i="13"/>
  <c r="E134" i="12"/>
  <c r="A134" i="13"/>
  <c r="E135" i="12"/>
  <c r="A135" i="13"/>
  <c r="E136" i="12"/>
  <c r="A136" i="13"/>
  <c r="F137" i="12"/>
  <c r="A137" i="13"/>
  <c r="A138" i="13"/>
  <c r="A139" i="13"/>
  <c r="B140" i="12"/>
  <c r="C140" i="12"/>
  <c r="A140" i="13"/>
  <c r="D141" i="12"/>
  <c r="E141" i="12"/>
  <c r="A141" i="13"/>
  <c r="D142" i="12"/>
  <c r="F142" i="12"/>
  <c r="A142" i="13"/>
  <c r="E143" i="12"/>
  <c r="A143" i="13"/>
  <c r="E144" i="12"/>
  <c r="A144" i="13"/>
  <c r="E145" i="12"/>
  <c r="A145" i="13"/>
  <c r="F146" i="12"/>
  <c r="A146" i="13"/>
  <c r="A147" i="13"/>
  <c r="A148" i="13"/>
  <c r="B149" i="12"/>
  <c r="C149" i="12"/>
  <c r="A149" i="13"/>
  <c r="D150" i="12"/>
  <c r="E150" i="12"/>
  <c r="A150" i="13"/>
  <c r="D151" i="12"/>
  <c r="F151" i="12"/>
  <c r="A151" i="13"/>
  <c r="E152" i="12"/>
  <c r="A152" i="13"/>
  <c r="E153" i="12"/>
  <c r="A153" i="13"/>
  <c r="E154" i="12"/>
  <c r="A154" i="13"/>
  <c r="F155" i="12"/>
  <c r="A155" i="13"/>
  <c r="A156" i="13"/>
  <c r="A157" i="13"/>
  <c r="B158" i="12"/>
  <c r="C158" i="12"/>
  <c r="A158" i="13"/>
  <c r="D159" i="12"/>
  <c r="E159" i="12"/>
  <c r="A159" i="13"/>
  <c r="D160" i="12"/>
  <c r="F160" i="12"/>
  <c r="A160" i="13"/>
  <c r="E161" i="12"/>
  <c r="A161" i="13"/>
  <c r="E162" i="12"/>
  <c r="A162" i="13"/>
  <c r="E163" i="12"/>
  <c r="A163" i="13"/>
  <c r="F164" i="12"/>
  <c r="A164" i="13"/>
  <c r="A165" i="13"/>
  <c r="A166" i="13"/>
  <c r="B167" i="12"/>
  <c r="C167" i="12"/>
  <c r="A167" i="13"/>
  <c r="D168" i="12"/>
  <c r="E168" i="12"/>
  <c r="A168" i="13"/>
  <c r="D169" i="12"/>
  <c r="F169" i="12"/>
  <c r="A169" i="13"/>
  <c r="E170" i="12"/>
  <c r="A170" i="13"/>
  <c r="E171" i="12"/>
  <c r="A171" i="13"/>
  <c r="E172" i="12"/>
  <c r="A172" i="13"/>
  <c r="F173" i="12"/>
  <c r="A173" i="13"/>
  <c r="A174" i="13"/>
  <c r="A175" i="13"/>
  <c r="B176" i="12"/>
  <c r="C176" i="12"/>
  <c r="A176" i="13"/>
  <c r="D177" i="12"/>
  <c r="E177" i="12"/>
  <c r="A177" i="13"/>
  <c r="D178" i="12"/>
  <c r="F178" i="12"/>
  <c r="A178" i="13"/>
  <c r="E179" i="12"/>
  <c r="A179" i="13"/>
  <c r="E180" i="12"/>
  <c r="A180" i="13"/>
  <c r="E181" i="12"/>
  <c r="A181" i="13"/>
  <c r="F182" i="12"/>
  <c r="A182" i="13"/>
  <c r="A183" i="13"/>
  <c r="A184" i="13"/>
  <c r="A185" i="13"/>
  <c r="B186" i="12"/>
  <c r="C186" i="12"/>
  <c r="A186" i="13"/>
  <c r="D187" i="12"/>
  <c r="E187" i="12"/>
  <c r="A187" i="13"/>
  <c r="D188" i="12"/>
  <c r="F188" i="12"/>
  <c r="A188" i="13"/>
  <c r="E189" i="12"/>
  <c r="A189" i="13"/>
  <c r="E190" i="12"/>
  <c r="A190" i="13"/>
  <c r="E191" i="12"/>
  <c r="A191" i="13"/>
  <c r="F192" i="12"/>
  <c r="A192" i="13"/>
  <c r="A193" i="13"/>
  <c r="A194" i="13"/>
  <c r="B195" i="12"/>
  <c r="C195" i="12"/>
  <c r="A195" i="13"/>
  <c r="D196" i="12"/>
  <c r="E196" i="12"/>
  <c r="A196" i="13"/>
  <c r="D197" i="12"/>
  <c r="F197" i="12"/>
  <c r="A197" i="13"/>
  <c r="E198" i="12"/>
  <c r="A198" i="13"/>
  <c r="E199" i="12"/>
  <c r="A199" i="13"/>
  <c r="E200" i="12"/>
  <c r="A200" i="13"/>
  <c r="F201" i="12"/>
  <c r="A201" i="13"/>
  <c r="A202" i="13"/>
  <c r="A203" i="13"/>
  <c r="B204" i="12"/>
  <c r="C204" i="12"/>
  <c r="A204" i="13"/>
  <c r="D205" i="12"/>
  <c r="E205" i="12"/>
  <c r="A205" i="13"/>
  <c r="D206" i="12"/>
  <c r="F206" i="12"/>
  <c r="A206" i="13"/>
  <c r="E207" i="12"/>
  <c r="A207" i="13"/>
  <c r="E208" i="12"/>
  <c r="A208" i="13"/>
  <c r="E209" i="12"/>
  <c r="A209" i="13"/>
  <c r="F210" i="12"/>
  <c r="A210" i="13"/>
  <c r="A211" i="13"/>
  <c r="A212" i="13"/>
  <c r="B213" i="12"/>
  <c r="C213" i="12"/>
  <c r="A213" i="13"/>
  <c r="D214" i="12"/>
  <c r="E214" i="12"/>
  <c r="A214" i="13"/>
  <c r="D215" i="12"/>
  <c r="F215" i="12"/>
  <c r="A215" i="13"/>
  <c r="E216" i="12"/>
  <c r="A216" i="13"/>
  <c r="E217" i="12"/>
  <c r="A217" i="13"/>
  <c r="E218" i="12"/>
  <c r="A218" i="13"/>
  <c r="F219" i="12"/>
  <c r="A219" i="13"/>
  <c r="A220" i="13"/>
  <c r="A221" i="13"/>
  <c r="B222" i="12"/>
  <c r="C222" i="12"/>
  <c r="A222" i="13"/>
  <c r="D223" i="12"/>
  <c r="E223" i="12"/>
  <c r="A223" i="13"/>
  <c r="D224" i="12"/>
  <c r="F224" i="12"/>
  <c r="A224" i="13"/>
  <c r="E225" i="12"/>
  <c r="A225" i="13"/>
  <c r="E226" i="12"/>
  <c r="A226" i="13"/>
  <c r="E227" i="12"/>
  <c r="A227" i="13"/>
  <c r="F228" i="12"/>
  <c r="A228" i="13"/>
  <c r="A229" i="13"/>
  <c r="A230" i="13"/>
  <c r="B231" i="12"/>
  <c r="C231" i="12"/>
  <c r="A231" i="13"/>
  <c r="D232" i="12"/>
  <c r="E232" i="12"/>
  <c r="A232" i="13"/>
  <c r="D233" i="12"/>
  <c r="F233" i="12"/>
  <c r="A233" i="13"/>
  <c r="E234" i="12"/>
  <c r="A234" i="13"/>
  <c r="E235" i="12"/>
  <c r="A235" i="13"/>
  <c r="E236" i="12"/>
  <c r="A236" i="13"/>
  <c r="F237" i="12"/>
  <c r="A237" i="13"/>
  <c r="A238" i="13"/>
  <c r="A239" i="13"/>
  <c r="A240" i="13"/>
  <c r="B241" i="12"/>
  <c r="C241" i="12"/>
  <c r="A241" i="13"/>
  <c r="D242" i="12"/>
  <c r="E242" i="12"/>
  <c r="A242" i="13"/>
  <c r="D243" i="12"/>
  <c r="F243" i="12"/>
  <c r="A243" i="13"/>
  <c r="D244" i="12"/>
  <c r="A244" i="13"/>
  <c r="E245" i="12"/>
  <c r="A245" i="13"/>
  <c r="E246" i="12"/>
  <c r="A246" i="13"/>
  <c r="E247" i="12"/>
  <c r="A247" i="13"/>
  <c r="F248" i="12"/>
  <c r="C248" i="12"/>
  <c r="D248" i="12"/>
  <c r="E248" i="12"/>
  <c r="A248" i="13"/>
  <c r="F249" i="12"/>
  <c r="A249" i="13"/>
  <c r="D250" i="12"/>
  <c r="F250" i="12"/>
  <c r="A250" i="13"/>
  <c r="A251" i="13"/>
  <c r="A252" i="13"/>
  <c r="B253" i="12"/>
  <c r="C253" i="12"/>
  <c r="A253" i="13"/>
  <c r="D254" i="12"/>
  <c r="E254" i="12"/>
  <c r="A254" i="13"/>
  <c r="D255" i="12"/>
  <c r="F255" i="12"/>
  <c r="A255" i="13"/>
  <c r="D256" i="12"/>
  <c r="A256" i="13"/>
  <c r="E257" i="12"/>
  <c r="A257" i="13"/>
  <c r="E258" i="12"/>
  <c r="A258" i="13"/>
  <c r="E259" i="12"/>
  <c r="A259" i="13"/>
  <c r="F260" i="12"/>
  <c r="C260" i="12"/>
  <c r="D260" i="12"/>
  <c r="E260" i="12"/>
  <c r="A260" i="13"/>
  <c r="F261" i="12"/>
  <c r="A261" i="13"/>
  <c r="D262" i="12"/>
  <c r="F262" i="12"/>
  <c r="A262" i="13"/>
  <c r="A263" i="13"/>
  <c r="A264" i="13"/>
  <c r="B265" i="12"/>
  <c r="C265" i="12"/>
  <c r="A265" i="13"/>
  <c r="D266" i="12"/>
  <c r="E266" i="12"/>
  <c r="A266" i="13"/>
  <c r="D267" i="12"/>
  <c r="F267" i="12"/>
  <c r="A267" i="13"/>
  <c r="D268" i="12"/>
  <c r="A268" i="13"/>
  <c r="E269" i="12"/>
  <c r="A269" i="13"/>
  <c r="E270" i="12"/>
  <c r="A270" i="13"/>
  <c r="E271" i="12"/>
  <c r="A271" i="13"/>
  <c r="F272" i="12"/>
  <c r="C272" i="12"/>
  <c r="D272" i="12"/>
  <c r="E272" i="12"/>
  <c r="A272" i="13"/>
  <c r="F273" i="12"/>
  <c r="A273" i="13"/>
  <c r="D274" i="12"/>
  <c r="F274" i="12"/>
  <c r="A274" i="13"/>
  <c r="A275" i="13"/>
  <c r="A276" i="13"/>
  <c r="B277" i="12"/>
  <c r="C277" i="12"/>
  <c r="A277" i="13"/>
  <c r="D278" i="12"/>
  <c r="E278" i="12"/>
  <c r="A278" i="13"/>
  <c r="D279" i="12"/>
  <c r="F279" i="12"/>
  <c r="A279" i="13"/>
  <c r="D280" i="12"/>
  <c r="A280" i="13"/>
  <c r="E281" i="12"/>
  <c r="A281" i="13"/>
  <c r="E282" i="12"/>
  <c r="A282" i="13"/>
  <c r="E283" i="12"/>
  <c r="A283" i="13"/>
  <c r="F284" i="12"/>
  <c r="C284" i="12"/>
  <c r="D284" i="12"/>
  <c r="E284" i="12"/>
  <c r="A284" i="13"/>
  <c r="F285" i="12"/>
  <c r="A285" i="13"/>
  <c r="D286" i="12"/>
  <c r="F286" i="12"/>
  <c r="A286" i="13"/>
  <c r="A287" i="13"/>
  <c r="A288" i="13"/>
  <c r="B289" i="12"/>
  <c r="C289" i="12"/>
  <c r="A289" i="13"/>
  <c r="D290" i="12"/>
  <c r="E290" i="12"/>
  <c r="A290" i="13"/>
  <c r="D291" i="12"/>
  <c r="F291" i="12"/>
  <c r="A291" i="13"/>
  <c r="D292" i="12"/>
  <c r="A292" i="13"/>
  <c r="E293" i="12"/>
  <c r="A293" i="13"/>
  <c r="E294" i="12"/>
  <c r="A294" i="13"/>
  <c r="E295" i="12"/>
  <c r="A295" i="13"/>
  <c r="F296" i="12"/>
  <c r="C296" i="12"/>
  <c r="D296" i="12"/>
  <c r="E296" i="12"/>
  <c r="A296" i="13"/>
  <c r="F297" i="12"/>
  <c r="A297" i="13"/>
  <c r="D298" i="12"/>
  <c r="F298" i="12"/>
  <c r="A298" i="13"/>
  <c r="A299" i="13"/>
  <c r="A300" i="13"/>
  <c r="B301" i="12"/>
  <c r="C301" i="12"/>
  <c r="A301" i="13"/>
  <c r="D302" i="12"/>
  <c r="E302" i="12"/>
  <c r="A302" i="13"/>
  <c r="D303" i="12"/>
  <c r="F303" i="12"/>
  <c r="A303" i="13"/>
  <c r="D304" i="12"/>
  <c r="A304" i="13"/>
  <c r="E305" i="12"/>
  <c r="A305" i="13"/>
  <c r="E306" i="12"/>
  <c r="A306" i="13"/>
  <c r="E307" i="12"/>
  <c r="A307" i="13"/>
  <c r="F308" i="12"/>
  <c r="C308" i="12"/>
  <c r="D308" i="12"/>
  <c r="E308" i="12"/>
  <c r="A308" i="13"/>
  <c r="F309" i="12"/>
  <c r="A309" i="13"/>
  <c r="D310" i="12"/>
  <c r="F310" i="12"/>
  <c r="A310" i="13"/>
  <c r="A311" i="13"/>
  <c r="A312" i="13"/>
  <c r="A313" i="13"/>
  <c r="B314" i="12"/>
  <c r="C314" i="12"/>
  <c r="A314" i="13"/>
  <c r="D315" i="12"/>
  <c r="E315" i="12"/>
  <c r="A315" i="13"/>
  <c r="D316" i="12"/>
  <c r="F316" i="12"/>
  <c r="A316" i="13"/>
  <c r="D317" i="12"/>
  <c r="A317" i="13"/>
  <c r="E318" i="12"/>
  <c r="A318" i="13"/>
  <c r="E319" i="12"/>
  <c r="A319" i="13"/>
  <c r="E320" i="12"/>
  <c r="A320" i="13"/>
  <c r="F321" i="12"/>
  <c r="C321" i="12"/>
  <c r="D321" i="12"/>
  <c r="E321" i="12"/>
  <c r="A321" i="13"/>
  <c r="F322" i="12"/>
  <c r="A322" i="13"/>
  <c r="D323" i="12"/>
  <c r="F323" i="12"/>
  <c r="A323" i="13"/>
  <c r="A324" i="13"/>
  <c r="A325" i="13"/>
  <c r="B326" i="12"/>
  <c r="C326" i="12"/>
  <c r="A326" i="13"/>
  <c r="D327" i="12"/>
  <c r="E327" i="12"/>
  <c r="A327" i="13"/>
  <c r="D328" i="12"/>
  <c r="F328" i="12"/>
  <c r="A328" i="13"/>
  <c r="D329" i="12"/>
  <c r="A329" i="13"/>
  <c r="E330" i="12"/>
  <c r="A330" i="13"/>
  <c r="E331" i="12"/>
  <c r="A331" i="13"/>
  <c r="E332" i="12"/>
  <c r="A332" i="13"/>
  <c r="F333" i="12"/>
  <c r="C333" i="12"/>
  <c r="D333" i="12"/>
  <c r="E333" i="12"/>
  <c r="A333" i="13"/>
  <c r="F334" i="12"/>
  <c r="A334" i="13"/>
  <c r="D335" i="12"/>
  <c r="F335" i="12"/>
  <c r="A335" i="13"/>
  <c r="A336" i="13"/>
  <c r="A337" i="13"/>
  <c r="A338" i="13"/>
  <c r="B339" i="12"/>
  <c r="C339" i="12"/>
  <c r="A339" i="13"/>
  <c r="D340" i="12"/>
  <c r="E340" i="12"/>
  <c r="A340" i="13"/>
  <c r="D341" i="12"/>
  <c r="F341" i="12"/>
  <c r="A341" i="13"/>
  <c r="D342" i="12"/>
  <c r="A342" i="13"/>
  <c r="E343" i="12"/>
  <c r="A343" i="13"/>
  <c r="E344" i="12"/>
  <c r="A344" i="13"/>
  <c r="E345" i="12"/>
  <c r="A345" i="13"/>
  <c r="F346" i="12"/>
  <c r="C346" i="12"/>
  <c r="D346" i="12"/>
  <c r="E346" i="12"/>
  <c r="A346" i="13"/>
  <c r="F347" i="12"/>
  <c r="A347" i="13"/>
  <c r="D348" i="12"/>
  <c r="F348" i="12"/>
  <c r="A348" i="13"/>
  <c r="A349" i="13"/>
  <c r="A350" i="13"/>
  <c r="B351" i="12"/>
  <c r="C351" i="12"/>
  <c r="A351" i="13"/>
  <c r="D352" i="12"/>
  <c r="E352" i="12"/>
  <c r="A352" i="13"/>
  <c r="D353" i="12"/>
  <c r="F353" i="12"/>
  <c r="A353" i="13"/>
  <c r="D354" i="12"/>
  <c r="A354" i="13"/>
  <c r="E355" i="12"/>
  <c r="A355" i="13"/>
  <c r="E356" i="12"/>
  <c r="A356" i="13"/>
  <c r="E357" i="12"/>
  <c r="A357" i="13"/>
  <c r="F358" i="12"/>
  <c r="C358" i="12"/>
  <c r="D358" i="12"/>
  <c r="E358" i="12"/>
  <c r="A358" i="13"/>
  <c r="F359" i="12"/>
  <c r="A359" i="13"/>
  <c r="D360" i="12"/>
  <c r="F360" i="12"/>
  <c r="A360" i="13"/>
  <c r="A361" i="13"/>
  <c r="A362" i="13"/>
  <c r="B363" i="12"/>
  <c r="C363" i="12"/>
  <c r="A363" i="13"/>
  <c r="D364" i="12"/>
  <c r="E364" i="12"/>
  <c r="A364" i="13"/>
  <c r="D365" i="12"/>
  <c r="F365" i="12"/>
  <c r="A365" i="13"/>
  <c r="D366" i="12"/>
  <c r="A366" i="13"/>
  <c r="E367" i="12"/>
  <c r="A367" i="13"/>
  <c r="E368" i="12"/>
  <c r="A368" i="13"/>
  <c r="E369" i="12"/>
  <c r="A369" i="13"/>
  <c r="F370" i="12"/>
  <c r="C370" i="12"/>
  <c r="D370" i="12"/>
  <c r="E370" i="12"/>
  <c r="A370" i="13"/>
  <c r="F371" i="12"/>
  <c r="A371" i="13"/>
  <c r="D372" i="12"/>
  <c r="F372" i="12"/>
  <c r="A372" i="13"/>
  <c r="A373" i="13"/>
  <c r="A374" i="13"/>
  <c r="B375" i="12"/>
  <c r="C375" i="12"/>
  <c r="A375" i="13"/>
  <c r="D376" i="12"/>
  <c r="E376" i="12"/>
  <c r="A376" i="13"/>
  <c r="D377" i="12"/>
  <c r="F377" i="12"/>
  <c r="A377" i="13"/>
  <c r="D378" i="12"/>
  <c r="A378" i="13"/>
  <c r="E379" i="12"/>
  <c r="A379" i="13"/>
  <c r="E380" i="12"/>
  <c r="A380" i="13"/>
  <c r="E381" i="12"/>
  <c r="A381" i="13"/>
  <c r="F382" i="12"/>
  <c r="C382" i="12"/>
  <c r="D382" i="12"/>
  <c r="E382" i="12"/>
  <c r="A382" i="13"/>
  <c r="F383" i="12"/>
  <c r="A383" i="13"/>
  <c r="D384" i="12"/>
  <c r="F384" i="12"/>
  <c r="A384" i="13"/>
  <c r="A385" i="13"/>
  <c r="A386" i="13"/>
  <c r="A387" i="13"/>
  <c r="B388" i="12"/>
  <c r="C388" i="12"/>
  <c r="A388" i="13"/>
  <c r="D389" i="12"/>
  <c r="E389" i="12"/>
  <c r="A389" i="13"/>
  <c r="D390" i="12"/>
  <c r="F390" i="12"/>
  <c r="A390" i="13"/>
  <c r="D391" i="12"/>
  <c r="A391" i="13"/>
  <c r="E392" i="12"/>
  <c r="A392" i="13"/>
  <c r="E393" i="12"/>
  <c r="A393" i="13"/>
  <c r="E394" i="12"/>
  <c r="A394" i="13"/>
  <c r="F395" i="12"/>
  <c r="C395" i="12"/>
  <c r="D395" i="12"/>
  <c r="E395" i="12"/>
  <c r="A395" i="13"/>
  <c r="F396" i="12"/>
  <c r="A396" i="13"/>
  <c r="D397" i="12"/>
  <c r="F397" i="12"/>
  <c r="A397" i="13"/>
  <c r="A398" i="13"/>
  <c r="A399" i="13"/>
  <c r="B400" i="12"/>
  <c r="C400" i="12"/>
  <c r="A400" i="13"/>
  <c r="D401" i="12"/>
  <c r="E401" i="12"/>
  <c r="A401" i="13"/>
  <c r="D402" i="12"/>
  <c r="F402" i="12"/>
  <c r="A402" i="13"/>
  <c r="D403" i="12"/>
  <c r="A403" i="13"/>
  <c r="E404" i="12"/>
  <c r="A404" i="13"/>
  <c r="E405" i="12"/>
  <c r="A405" i="13"/>
  <c r="E406" i="12"/>
  <c r="A406" i="13"/>
  <c r="F407" i="12"/>
  <c r="C407" i="12"/>
  <c r="D407" i="12"/>
  <c r="E407" i="12"/>
  <c r="A407" i="13"/>
  <c r="F408" i="12"/>
  <c r="A408" i="13"/>
  <c r="D409" i="12"/>
  <c r="F409" i="12"/>
  <c r="A409" i="13"/>
  <c r="A410" i="13"/>
  <c r="A411" i="13"/>
  <c r="A412" i="13"/>
  <c r="B413" i="12"/>
  <c r="C413" i="12"/>
  <c r="A413" i="13"/>
  <c r="D414" i="12"/>
  <c r="E414" i="12"/>
  <c r="A414" i="13"/>
  <c r="D415" i="12"/>
  <c r="F415" i="12"/>
  <c r="A415" i="13"/>
  <c r="D416" i="12"/>
  <c r="A416" i="13"/>
  <c r="E417" i="12"/>
  <c r="A417" i="13"/>
  <c r="E418" i="12"/>
  <c r="A418" i="13"/>
  <c r="E419" i="12"/>
  <c r="A419" i="13"/>
  <c r="F420" i="12"/>
  <c r="C420" i="12"/>
  <c r="D420" i="12"/>
  <c r="E420" i="12"/>
  <c r="A420" i="13"/>
  <c r="F421" i="12"/>
  <c r="A421" i="13"/>
  <c r="D422" i="12"/>
  <c r="F422" i="12"/>
  <c r="A422" i="13"/>
  <c r="A423" i="13"/>
  <c r="A424" i="13"/>
  <c r="C425" i="12"/>
  <c r="A425" i="13"/>
  <c r="D426" i="12"/>
  <c r="E426" i="12"/>
  <c r="A426" i="13"/>
  <c r="D427" i="12"/>
  <c r="F427" i="12"/>
  <c r="A427" i="13"/>
  <c r="A194" i="12"/>
  <c r="A203" i="12"/>
  <c r="A212" i="12"/>
  <c r="J184" i="12"/>
  <c r="A221" i="12"/>
  <c r="A230" i="12"/>
  <c r="A437" i="12"/>
  <c r="A449" i="12"/>
  <c r="J436" i="12"/>
  <c r="J411" i="12"/>
  <c r="B48" i="8"/>
  <c r="N48" i="8"/>
  <c r="N54" i="8"/>
  <c r="M54" i="8"/>
  <c r="B54" i="8"/>
  <c r="I54" i="8"/>
  <c r="H54" i="8"/>
  <c r="G54" i="8"/>
  <c r="D54" i="8"/>
  <c r="C54" i="8"/>
  <c r="B47" i="8"/>
  <c r="N47" i="8"/>
  <c r="N53" i="8"/>
  <c r="M53" i="8"/>
  <c r="B53" i="8"/>
  <c r="I53" i="8"/>
  <c r="H53" i="8"/>
  <c r="G53" i="8"/>
  <c r="D53" i="8"/>
  <c r="C53" i="8"/>
  <c r="M48" i="8"/>
  <c r="K48" i="8"/>
  <c r="I48" i="8"/>
  <c r="H48" i="8"/>
  <c r="G48" i="8"/>
  <c r="D48" i="8"/>
  <c r="C48" i="8"/>
  <c r="M47" i="8"/>
  <c r="K47" i="8"/>
  <c r="I47" i="8"/>
  <c r="H47" i="8"/>
  <c r="G47" i="8"/>
  <c r="D47" i="8"/>
  <c r="C47" i="8"/>
  <c r="B52" i="8"/>
  <c r="B25" i="4"/>
  <c r="B24" i="4"/>
  <c r="B23" i="4"/>
  <c r="A25" i="4"/>
  <c r="A24" i="4"/>
  <c r="A23" i="4"/>
  <c r="B44" i="8"/>
  <c r="B46" i="8"/>
  <c r="N46" i="8"/>
  <c r="N52" i="8"/>
  <c r="M52" i="8"/>
  <c r="I52" i="8"/>
  <c r="H52" i="8"/>
  <c r="G52" i="8"/>
  <c r="D52" i="8"/>
  <c r="C52" i="8"/>
  <c r="B50" i="8"/>
  <c r="M46" i="8"/>
  <c r="K46" i="8"/>
  <c r="I46" i="8"/>
  <c r="H46" i="8"/>
  <c r="G46" i="8"/>
  <c r="D46" i="8"/>
  <c r="C46" i="8"/>
  <c r="B112" i="8"/>
  <c r="B119" i="8"/>
  <c r="B114" i="8"/>
  <c r="N114" i="8"/>
  <c r="N119" i="8"/>
  <c r="M119" i="8"/>
  <c r="L119" i="8"/>
  <c r="I119" i="8"/>
  <c r="H119" i="8"/>
  <c r="G119" i="8"/>
  <c r="D119" i="8"/>
  <c r="C119" i="8"/>
  <c r="B117" i="8"/>
  <c r="M114" i="8"/>
  <c r="L114" i="8"/>
  <c r="K114" i="8"/>
  <c r="I114" i="8"/>
  <c r="H114" i="8"/>
  <c r="G114" i="8"/>
  <c r="D114" i="8"/>
  <c r="C114" i="8"/>
  <c r="B101" i="8"/>
  <c r="B108" i="8"/>
  <c r="B103" i="8"/>
  <c r="N103" i="8"/>
  <c r="N108" i="8"/>
  <c r="M108" i="8"/>
  <c r="L108" i="8"/>
  <c r="I108" i="8"/>
  <c r="H108" i="8"/>
  <c r="G108" i="8"/>
  <c r="D108" i="8"/>
  <c r="C108" i="8"/>
  <c r="B106" i="8"/>
  <c r="M103" i="8"/>
  <c r="L103" i="8"/>
  <c r="K103" i="8"/>
  <c r="I103" i="8"/>
  <c r="H103" i="8"/>
  <c r="G103" i="8"/>
  <c r="D103" i="8"/>
  <c r="C103" i="8"/>
  <c r="B51" i="4"/>
  <c r="A51" i="4"/>
  <c r="K51" i="4"/>
  <c r="G51" i="4"/>
  <c r="L51" i="4"/>
  <c r="J51" i="4"/>
  <c r="I51" i="4"/>
  <c r="A48" i="4"/>
  <c r="B48" i="4"/>
  <c r="K48" i="4"/>
  <c r="G48" i="4"/>
  <c r="L48" i="4"/>
  <c r="J48" i="4"/>
  <c r="I48" i="4"/>
  <c r="O25" i="4"/>
  <c r="O24" i="4"/>
  <c r="O23" i="4"/>
  <c r="U23" i="4"/>
  <c r="Z25" i="4"/>
  <c r="Y25" i="4"/>
  <c r="X25" i="4"/>
  <c r="W25" i="4"/>
  <c r="V25" i="4"/>
  <c r="U25" i="4"/>
  <c r="T25" i="4"/>
  <c r="S25" i="4"/>
  <c r="R25" i="4"/>
  <c r="Q25" i="4"/>
  <c r="P25" i="4"/>
  <c r="Z24" i="4"/>
  <c r="Y24" i="4"/>
  <c r="X24" i="4"/>
  <c r="W24" i="4"/>
  <c r="V24" i="4"/>
  <c r="U24" i="4"/>
  <c r="T24" i="4"/>
  <c r="S24" i="4"/>
  <c r="R24" i="4"/>
  <c r="Q24" i="4"/>
  <c r="P24" i="4"/>
  <c r="Z23" i="4"/>
  <c r="Y23" i="4"/>
  <c r="X23" i="4"/>
  <c r="W23" i="4"/>
  <c r="V23" i="4"/>
  <c r="T23" i="4"/>
  <c r="S23" i="4"/>
  <c r="R23" i="4"/>
  <c r="Q23" i="4"/>
  <c r="P23" i="4"/>
  <c r="K25" i="4"/>
  <c r="K24" i="4"/>
  <c r="K23" i="4"/>
  <c r="N23" i="4"/>
  <c r="N24" i="4"/>
  <c r="N25" i="4"/>
  <c r="K37" i="4"/>
  <c r="G25" i="4"/>
  <c r="L25" i="4"/>
  <c r="J25" i="4"/>
  <c r="I25" i="4"/>
  <c r="G24" i="4"/>
  <c r="L24" i="4"/>
  <c r="J24" i="4"/>
  <c r="I24" i="4"/>
  <c r="G23" i="4"/>
  <c r="L23" i="4"/>
  <c r="J23" i="4"/>
  <c r="I23" i="4"/>
  <c r="D58" i="16"/>
  <c r="E58" i="16"/>
  <c r="F58" i="16"/>
  <c r="B58" i="16"/>
  <c r="A7" i="4"/>
  <c r="B6" i="8"/>
  <c r="A8" i="4"/>
  <c r="B7" i="8"/>
  <c r="B9" i="8"/>
  <c r="B7" i="4"/>
  <c r="B11" i="8"/>
  <c r="B2" i="4"/>
  <c r="C2" i="4"/>
  <c r="C6" i="8"/>
  <c r="D2" i="4"/>
  <c r="D6" i="8"/>
  <c r="C7" i="8"/>
  <c r="D7" i="8"/>
  <c r="C1" i="4"/>
  <c r="D1" i="4"/>
  <c r="C11" i="8"/>
  <c r="D11" i="8"/>
  <c r="B8" i="4"/>
  <c r="B12" i="8"/>
  <c r="C12" i="8"/>
  <c r="D12" i="8"/>
  <c r="B15" i="8"/>
  <c r="A11" i="4"/>
  <c r="B17" i="8"/>
  <c r="C17" i="8"/>
  <c r="D17" i="8"/>
  <c r="A12" i="4"/>
  <c r="B18" i="8"/>
  <c r="C18" i="8"/>
  <c r="D18" i="8"/>
  <c r="A13" i="4"/>
  <c r="B19" i="8"/>
  <c r="C19" i="8"/>
  <c r="D19" i="8"/>
  <c r="A14" i="4"/>
  <c r="B20" i="8"/>
  <c r="C20" i="8"/>
  <c r="D20" i="8"/>
  <c r="B22" i="8"/>
  <c r="B11" i="4"/>
  <c r="B24" i="8"/>
  <c r="C24" i="8"/>
  <c r="D24" i="8"/>
  <c r="B12" i="4"/>
  <c r="B25" i="8"/>
  <c r="C25" i="8"/>
  <c r="D25" i="8"/>
  <c r="B13" i="4"/>
  <c r="B26" i="8"/>
  <c r="C26" i="8"/>
  <c r="D26" i="8"/>
  <c r="B14" i="4"/>
  <c r="B27" i="8"/>
  <c r="C27" i="8"/>
  <c r="D27" i="8"/>
  <c r="B30" i="8"/>
  <c r="A17" i="4"/>
  <c r="B32" i="8"/>
  <c r="C32" i="8"/>
  <c r="D32" i="8"/>
  <c r="A18" i="4"/>
  <c r="B33" i="8"/>
  <c r="C33" i="8"/>
  <c r="D33" i="8"/>
  <c r="A19" i="4"/>
  <c r="B34" i="8"/>
  <c r="C34" i="8"/>
  <c r="D34" i="8"/>
  <c r="A20" i="4"/>
  <c r="B35" i="8"/>
  <c r="C35" i="8"/>
  <c r="D35" i="8"/>
  <c r="B37" i="8"/>
  <c r="B17" i="4"/>
  <c r="B39" i="8"/>
  <c r="C39" i="8"/>
  <c r="D39" i="8"/>
  <c r="B18" i="4"/>
  <c r="B40" i="8"/>
  <c r="C40" i="8"/>
  <c r="D40" i="8"/>
  <c r="B19" i="4"/>
  <c r="B41" i="8"/>
  <c r="C41" i="8"/>
  <c r="D41" i="8"/>
  <c r="B20" i="4"/>
  <c r="B42" i="8"/>
  <c r="C42" i="8"/>
  <c r="D42" i="8"/>
  <c r="B57" i="8"/>
  <c r="A29" i="4"/>
  <c r="B59" i="8"/>
  <c r="C59" i="8"/>
  <c r="D59" i="8"/>
  <c r="A30" i="4"/>
  <c r="B60" i="8"/>
  <c r="C60" i="8"/>
  <c r="D60" i="8"/>
  <c r="A31" i="4"/>
  <c r="B61" i="8"/>
  <c r="C61" i="8"/>
  <c r="D61" i="8"/>
  <c r="B63" i="8"/>
  <c r="B29" i="4"/>
  <c r="B65" i="8"/>
  <c r="C65" i="8"/>
  <c r="D65" i="8"/>
  <c r="B30" i="4"/>
  <c r="B66" i="8"/>
  <c r="C66" i="8"/>
  <c r="D66" i="8"/>
  <c r="B31" i="4"/>
  <c r="B67" i="8"/>
  <c r="C67" i="8"/>
  <c r="D67" i="8"/>
  <c r="B70" i="8"/>
  <c r="A37" i="4"/>
  <c r="B72" i="8"/>
  <c r="C72" i="8"/>
  <c r="D72" i="8"/>
  <c r="B74" i="8"/>
  <c r="B37" i="4"/>
  <c r="B76" i="8"/>
  <c r="C76" i="8"/>
  <c r="D76" i="8"/>
  <c r="B79" i="8"/>
  <c r="A41" i="4"/>
  <c r="B81" i="8"/>
  <c r="C81" i="8"/>
  <c r="D81" i="8"/>
  <c r="A42" i="4"/>
  <c r="B82" i="8"/>
  <c r="C82" i="8"/>
  <c r="D82" i="8"/>
  <c r="B84" i="8"/>
  <c r="B41" i="4"/>
  <c r="B86" i="8"/>
  <c r="C86" i="8"/>
  <c r="D86" i="8"/>
  <c r="B42" i="4"/>
  <c r="B87" i="8"/>
  <c r="C87" i="8"/>
  <c r="D87" i="8"/>
  <c r="B90" i="8"/>
  <c r="A45" i="4"/>
  <c r="B92" i="8"/>
  <c r="C92" i="8"/>
  <c r="D92" i="8"/>
  <c r="B95" i="8"/>
  <c r="B45" i="4"/>
  <c r="B97" i="8"/>
  <c r="C97" i="8"/>
  <c r="D97" i="8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A6" i="3"/>
  <c r="B5" i="6"/>
  <c r="E2" i="16"/>
  <c r="A7" i="3"/>
  <c r="B6" i="6"/>
  <c r="E3" i="16"/>
  <c r="A8" i="3"/>
  <c r="B7" i="6"/>
  <c r="E4" i="16"/>
  <c r="A9" i="3"/>
  <c r="B8" i="6"/>
  <c r="E5" i="16"/>
  <c r="A10" i="3"/>
  <c r="B9" i="6"/>
  <c r="E6" i="16"/>
  <c r="A11" i="3"/>
  <c r="B10" i="6"/>
  <c r="E7" i="16"/>
  <c r="B6" i="3"/>
  <c r="B16" i="6"/>
  <c r="E8" i="16"/>
  <c r="B7" i="3"/>
  <c r="B17" i="6"/>
  <c r="E9" i="16"/>
  <c r="B8" i="3"/>
  <c r="B18" i="6"/>
  <c r="E10" i="16"/>
  <c r="B9" i="3"/>
  <c r="B19" i="6"/>
  <c r="E11" i="16"/>
  <c r="B10" i="3"/>
  <c r="B20" i="6"/>
  <c r="E12" i="16"/>
  <c r="B11" i="3"/>
  <c r="B21" i="6"/>
  <c r="E13" i="16"/>
  <c r="F17" i="16"/>
  <c r="D17" i="16"/>
  <c r="C17" i="16"/>
  <c r="B17" i="16"/>
  <c r="F16" i="16"/>
  <c r="D16" i="16"/>
  <c r="C16" i="16"/>
  <c r="B16" i="16"/>
  <c r="F15" i="16"/>
  <c r="D15" i="16"/>
  <c r="C15" i="16"/>
  <c r="B15" i="16"/>
  <c r="F14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A387" i="12"/>
  <c r="A374" i="12"/>
  <c r="A350" i="12"/>
  <c r="A288" i="12"/>
  <c r="A300" i="12"/>
  <c r="A11" i="9"/>
  <c r="A20" i="9"/>
  <c r="A29" i="9"/>
  <c r="A38" i="9"/>
  <c r="A47" i="9"/>
  <c r="A56" i="9"/>
  <c r="A65" i="9"/>
  <c r="A74" i="9"/>
  <c r="A83" i="9"/>
  <c r="A92" i="9"/>
  <c r="A101" i="9"/>
  <c r="J239" i="12"/>
  <c r="J38" i="12"/>
  <c r="J111" i="12"/>
  <c r="J1" i="12"/>
  <c r="N92" i="8"/>
  <c r="N97" i="8"/>
  <c r="M97" i="8"/>
  <c r="E1" i="4"/>
  <c r="F1" i="4"/>
  <c r="G1" i="4"/>
  <c r="G45" i="4"/>
  <c r="L97" i="8"/>
  <c r="M92" i="8"/>
  <c r="E2" i="4"/>
  <c r="F2" i="4"/>
  <c r="G2" i="4"/>
  <c r="L92" i="8"/>
  <c r="H2" i="4"/>
  <c r="I2" i="4"/>
  <c r="J2" i="4"/>
  <c r="J45" i="4"/>
  <c r="I92" i="8"/>
  <c r="K2" i="4"/>
  <c r="L2" i="4"/>
  <c r="H13" i="4"/>
  <c r="H15" i="4"/>
  <c r="K15" i="4"/>
  <c r="K11" i="4"/>
  <c r="N11" i="4"/>
  <c r="K12" i="4"/>
  <c r="N12" i="4"/>
  <c r="K13" i="4"/>
  <c r="N13" i="4"/>
  <c r="K14" i="4"/>
  <c r="N14" i="4"/>
  <c r="H21" i="4"/>
  <c r="K21" i="4"/>
  <c r="K17" i="4"/>
  <c r="N17" i="4"/>
  <c r="K18" i="4"/>
  <c r="N18" i="4"/>
  <c r="K19" i="4"/>
  <c r="N19" i="4"/>
  <c r="K20" i="4"/>
  <c r="N20" i="4"/>
  <c r="N4" i="4"/>
  <c r="K45" i="4"/>
  <c r="L45" i="4"/>
  <c r="K92" i="8"/>
  <c r="N82" i="8"/>
  <c r="N81" i="8"/>
  <c r="M87" i="8"/>
  <c r="G42" i="4"/>
  <c r="L87" i="8"/>
  <c r="M86" i="8"/>
  <c r="H1" i="4"/>
  <c r="I1" i="4"/>
  <c r="J1" i="4"/>
  <c r="J41" i="4"/>
  <c r="I86" i="8"/>
  <c r="G41" i="4"/>
  <c r="L86" i="8"/>
  <c r="M82" i="8"/>
  <c r="Q29" i="4"/>
  <c r="K7" i="4"/>
  <c r="N7" i="4"/>
  <c r="K8" i="4"/>
  <c r="N8" i="4"/>
  <c r="H32" i="4"/>
  <c r="K32" i="4"/>
  <c r="K29" i="4"/>
  <c r="N29" i="4"/>
  <c r="K30" i="4"/>
  <c r="N30" i="4"/>
  <c r="K31" i="4"/>
  <c r="N31" i="4"/>
  <c r="O4" i="4"/>
  <c r="K42" i="4"/>
  <c r="L42" i="4"/>
  <c r="K82" i="8"/>
  <c r="M81" i="8"/>
  <c r="K41" i="4"/>
  <c r="L41" i="4"/>
  <c r="K81" i="8"/>
  <c r="J37" i="4"/>
  <c r="I76" i="8"/>
  <c r="M76" i="8"/>
  <c r="G37" i="4"/>
  <c r="L76" i="8"/>
  <c r="K1" i="4"/>
  <c r="L1" i="4"/>
  <c r="M1" i="4"/>
  <c r="H76" i="8"/>
  <c r="M72" i="8"/>
  <c r="L37" i="4"/>
  <c r="K72" i="8"/>
  <c r="N59" i="8"/>
  <c r="J20" i="4"/>
  <c r="I42" i="8"/>
  <c r="J18" i="4"/>
  <c r="I40" i="8"/>
  <c r="I35" i="8"/>
  <c r="I33" i="8"/>
  <c r="M42" i="8"/>
  <c r="L42" i="8"/>
  <c r="H42" i="8"/>
  <c r="M41" i="8"/>
  <c r="L41" i="8"/>
  <c r="H41" i="8"/>
  <c r="N1" i="4"/>
  <c r="O1" i="4"/>
  <c r="P19" i="4"/>
  <c r="Q6" i="4"/>
  <c r="Q19" i="4"/>
  <c r="R6" i="4"/>
  <c r="R19" i="4"/>
  <c r="S6" i="4"/>
  <c r="S19" i="4"/>
  <c r="T6" i="4"/>
  <c r="T19" i="4"/>
  <c r="U6" i="4"/>
  <c r="U19" i="4"/>
  <c r="V6" i="4"/>
  <c r="V19" i="4"/>
  <c r="W6" i="4"/>
  <c r="G19" i="4"/>
  <c r="W19" i="4"/>
  <c r="X6" i="4"/>
  <c r="X19" i="4"/>
  <c r="Y6" i="4"/>
  <c r="Y19" i="4"/>
  <c r="Z6" i="4"/>
  <c r="Z19" i="4"/>
  <c r="O19" i="4"/>
  <c r="N41" i="8"/>
  <c r="M40" i="8"/>
  <c r="L40" i="8"/>
  <c r="H40" i="8"/>
  <c r="M39" i="8"/>
  <c r="L39" i="8"/>
  <c r="H39" i="8"/>
  <c r="P17" i="4"/>
  <c r="Q17" i="4"/>
  <c r="R17" i="4"/>
  <c r="S17" i="4"/>
  <c r="T17" i="4"/>
  <c r="U17" i="4"/>
  <c r="V17" i="4"/>
  <c r="G17" i="4"/>
  <c r="W17" i="4"/>
  <c r="X17" i="4"/>
  <c r="Y17" i="4"/>
  <c r="Z17" i="4"/>
  <c r="O17" i="4"/>
  <c r="N39" i="8"/>
  <c r="M35" i="8"/>
  <c r="L35" i="8"/>
  <c r="H35" i="8"/>
  <c r="M2" i="4"/>
  <c r="N2" i="4"/>
  <c r="O2" i="4"/>
  <c r="N34" i="8"/>
  <c r="M34" i="8"/>
  <c r="L34" i="8"/>
  <c r="J19" i="4"/>
  <c r="I34" i="8"/>
  <c r="H34" i="8"/>
  <c r="L19" i="4"/>
  <c r="K34" i="8"/>
  <c r="P18" i="4"/>
  <c r="Q18" i="4"/>
  <c r="R18" i="4"/>
  <c r="S18" i="4"/>
  <c r="T18" i="4"/>
  <c r="U18" i="4"/>
  <c r="V18" i="4"/>
  <c r="G18" i="4"/>
  <c r="W18" i="4"/>
  <c r="X18" i="4"/>
  <c r="Y18" i="4"/>
  <c r="Z18" i="4"/>
  <c r="O18" i="4"/>
  <c r="N33" i="8"/>
  <c r="M33" i="8"/>
  <c r="L33" i="8"/>
  <c r="H33" i="8"/>
  <c r="N32" i="8"/>
  <c r="M32" i="8"/>
  <c r="L32" i="8"/>
  <c r="J17" i="4"/>
  <c r="I32" i="8"/>
  <c r="H32" i="8"/>
  <c r="L17" i="4"/>
  <c r="K32" i="8"/>
  <c r="M27" i="8"/>
  <c r="L27" i="8"/>
  <c r="H27" i="8"/>
  <c r="P14" i="4"/>
  <c r="Q14" i="4"/>
  <c r="R14" i="4"/>
  <c r="S14" i="4"/>
  <c r="G14" i="4"/>
  <c r="T14" i="4"/>
  <c r="U14" i="4"/>
  <c r="V14" i="4"/>
  <c r="W14" i="4"/>
  <c r="X14" i="4"/>
  <c r="Y14" i="4"/>
  <c r="Z14" i="4"/>
  <c r="O14" i="4"/>
  <c r="N27" i="8"/>
  <c r="M26" i="8"/>
  <c r="L26" i="8"/>
  <c r="H26" i="8"/>
  <c r="P13" i="4"/>
  <c r="Q13" i="4"/>
  <c r="R13" i="4"/>
  <c r="S13" i="4"/>
  <c r="G13" i="4"/>
  <c r="T13" i="4"/>
  <c r="U13" i="4"/>
  <c r="V13" i="4"/>
  <c r="W13" i="4"/>
  <c r="X13" i="4"/>
  <c r="Y13" i="4"/>
  <c r="Z13" i="4"/>
  <c r="O13" i="4"/>
  <c r="N26" i="8"/>
  <c r="M25" i="8"/>
  <c r="L25" i="8"/>
  <c r="H25" i="8"/>
  <c r="P12" i="4"/>
  <c r="Q12" i="4"/>
  <c r="R12" i="4"/>
  <c r="S12" i="4"/>
  <c r="G12" i="4"/>
  <c r="T12" i="4"/>
  <c r="U12" i="4"/>
  <c r="V12" i="4"/>
  <c r="W12" i="4"/>
  <c r="X12" i="4"/>
  <c r="Y12" i="4"/>
  <c r="Z12" i="4"/>
  <c r="O12" i="4"/>
  <c r="N25" i="8"/>
  <c r="M20" i="8"/>
  <c r="L20" i="8"/>
  <c r="H20" i="8"/>
  <c r="L14" i="4"/>
  <c r="K20" i="8"/>
  <c r="M19" i="8"/>
  <c r="L19" i="8"/>
  <c r="H19" i="8"/>
  <c r="L13" i="4"/>
  <c r="K19" i="8"/>
  <c r="M18" i="8"/>
  <c r="L18" i="8"/>
  <c r="H18" i="8"/>
  <c r="L12" i="4"/>
  <c r="K18" i="8"/>
  <c r="J11" i="4"/>
  <c r="I17" i="8"/>
  <c r="M24" i="8"/>
  <c r="L24" i="8"/>
  <c r="H24" i="8"/>
  <c r="P11" i="4"/>
  <c r="Q11" i="4"/>
  <c r="R11" i="4"/>
  <c r="S11" i="4"/>
  <c r="G11" i="4"/>
  <c r="T11" i="4"/>
  <c r="U11" i="4"/>
  <c r="V11" i="4"/>
  <c r="W11" i="4"/>
  <c r="X11" i="4"/>
  <c r="Y11" i="4"/>
  <c r="Z11" i="4"/>
  <c r="O11" i="4"/>
  <c r="N24" i="8"/>
  <c r="M17" i="8"/>
  <c r="L17" i="8"/>
  <c r="H17" i="8"/>
  <c r="Z20" i="4"/>
  <c r="Y20" i="4"/>
  <c r="X20" i="4"/>
  <c r="G20" i="4"/>
  <c r="W20" i="4"/>
  <c r="V20" i="4"/>
  <c r="U20" i="4"/>
  <c r="T20" i="4"/>
  <c r="S20" i="4"/>
  <c r="R20" i="4"/>
  <c r="Q20" i="4"/>
  <c r="P20" i="4"/>
  <c r="O20" i="4"/>
  <c r="P8" i="4"/>
  <c r="Q8" i="4"/>
  <c r="R8" i="4"/>
  <c r="S8" i="4"/>
  <c r="T8" i="4"/>
  <c r="G8" i="4"/>
  <c r="U8" i="4"/>
  <c r="V8" i="4"/>
  <c r="W8" i="4"/>
  <c r="X8" i="4"/>
  <c r="Y8" i="4"/>
  <c r="Z8" i="4"/>
  <c r="O8" i="4"/>
  <c r="P7" i="4"/>
  <c r="Q7" i="4"/>
  <c r="R7" i="4"/>
  <c r="G7" i="4"/>
  <c r="S7" i="4"/>
  <c r="T7" i="4"/>
  <c r="U7" i="4"/>
  <c r="V7" i="4"/>
  <c r="W7" i="4"/>
  <c r="X7" i="4"/>
  <c r="Y7" i="4"/>
  <c r="Z7" i="4"/>
  <c r="O7" i="4"/>
  <c r="G30" i="4"/>
  <c r="G31" i="4"/>
  <c r="G29" i="4"/>
  <c r="H38" i="4"/>
  <c r="H92" i="8"/>
  <c r="I97" i="8"/>
  <c r="H97" i="8"/>
  <c r="J42" i="4"/>
  <c r="I87" i="8"/>
  <c r="I81" i="8"/>
  <c r="L81" i="8"/>
  <c r="N86" i="8"/>
  <c r="I82" i="8"/>
  <c r="L82" i="8"/>
  <c r="N87" i="8"/>
  <c r="H86" i="8"/>
  <c r="H87" i="8"/>
  <c r="H81" i="8"/>
  <c r="H82" i="8"/>
  <c r="L18" i="4"/>
  <c r="K33" i="8"/>
  <c r="N35" i="8"/>
  <c r="L20" i="4"/>
  <c r="K35" i="8"/>
  <c r="N40" i="8"/>
  <c r="I72" i="8"/>
  <c r="L72" i="8"/>
  <c r="N72" i="8"/>
  <c r="N76" i="8"/>
  <c r="H72" i="8"/>
  <c r="N42" i="8"/>
  <c r="J13" i="4"/>
  <c r="I26" i="8"/>
  <c r="J14" i="4"/>
  <c r="I27" i="8"/>
  <c r="I39" i="8"/>
  <c r="I41" i="8"/>
  <c r="N17" i="8"/>
  <c r="J12" i="4"/>
  <c r="I25" i="8"/>
  <c r="N19" i="8"/>
  <c r="I19" i="8"/>
  <c r="I20" i="8"/>
  <c r="N20" i="8"/>
  <c r="L11" i="4"/>
  <c r="K17" i="8"/>
  <c r="I18" i="8"/>
  <c r="N18" i="8"/>
  <c r="I24" i="8"/>
  <c r="I12" i="4"/>
  <c r="I41" i="4"/>
  <c r="I37" i="4"/>
  <c r="I45" i="4"/>
  <c r="M30" i="4"/>
  <c r="M31" i="4"/>
  <c r="N12" i="8"/>
  <c r="N11" i="8"/>
  <c r="N7" i="8"/>
  <c r="N6" i="8"/>
  <c r="G7" i="3"/>
  <c r="I7" i="3"/>
  <c r="I8" i="3"/>
  <c r="I9" i="3"/>
  <c r="I10" i="3"/>
  <c r="G11" i="3"/>
  <c r="I11" i="3"/>
  <c r="I6" i="3"/>
  <c r="F11" i="3"/>
  <c r="F7" i="3"/>
  <c r="G76" i="8"/>
  <c r="G72" i="8"/>
  <c r="G86" i="8"/>
  <c r="G81" i="8"/>
  <c r="G92" i="8"/>
  <c r="G97" i="8"/>
  <c r="G25" i="8"/>
  <c r="G18" i="8"/>
  <c r="I18" i="4"/>
  <c r="I19" i="4"/>
  <c r="I20" i="4"/>
  <c r="I42" i="4"/>
  <c r="H14" i="10"/>
  <c r="H3" i="10"/>
  <c r="H4" i="10"/>
  <c r="H5" i="10"/>
  <c r="H6" i="10"/>
  <c r="H7" i="10"/>
  <c r="H8" i="10"/>
  <c r="H9" i="10"/>
  <c r="H10" i="10"/>
  <c r="H11" i="10"/>
  <c r="H12" i="10"/>
  <c r="H13" i="10"/>
  <c r="H2" i="10"/>
  <c r="E14" i="10"/>
  <c r="B14" i="10"/>
  <c r="G87" i="8"/>
  <c r="G82" i="8"/>
  <c r="G34" i="8"/>
  <c r="G41" i="8"/>
  <c r="G42" i="8"/>
  <c r="G35" i="8"/>
  <c r="G33" i="8"/>
  <c r="G40" i="8"/>
  <c r="E3" i="10"/>
  <c r="E4" i="10"/>
  <c r="E5" i="10"/>
  <c r="E6" i="10"/>
  <c r="E7" i="10"/>
  <c r="E8" i="10"/>
  <c r="E9" i="10"/>
  <c r="E10" i="10"/>
  <c r="E11" i="10"/>
  <c r="E12" i="10"/>
  <c r="E13" i="10"/>
  <c r="E2" i="10"/>
  <c r="B13" i="10"/>
  <c r="B12" i="10"/>
  <c r="B11" i="10"/>
  <c r="B10" i="10"/>
  <c r="B9" i="10"/>
  <c r="B8" i="10"/>
  <c r="B7" i="10"/>
  <c r="B6" i="10"/>
  <c r="B5" i="10"/>
  <c r="B4" i="10"/>
  <c r="B3" i="10"/>
  <c r="B2" i="10"/>
  <c r="A2" i="13"/>
  <c r="N61" i="8"/>
  <c r="N67" i="8"/>
  <c r="N60" i="8"/>
  <c r="N66" i="8"/>
  <c r="N65" i="8"/>
  <c r="C1" i="8"/>
  <c r="D1" i="8"/>
  <c r="E1" i="8"/>
  <c r="F1" i="8"/>
  <c r="G1" i="8"/>
  <c r="H1" i="8"/>
  <c r="I1" i="8"/>
  <c r="J1" i="8"/>
  <c r="L31" i="4"/>
  <c r="M67" i="8"/>
  <c r="M66" i="8"/>
  <c r="M65" i="8"/>
  <c r="M61" i="8"/>
  <c r="M60" i="8"/>
  <c r="M59" i="8"/>
  <c r="M12" i="8"/>
  <c r="L12" i="8"/>
  <c r="M11" i="8"/>
  <c r="L11" i="8"/>
  <c r="M7" i="8"/>
  <c r="L7" i="8"/>
  <c r="M6" i="8"/>
  <c r="L6" i="8"/>
  <c r="H7" i="8"/>
  <c r="H6" i="8"/>
  <c r="A11" i="12"/>
  <c r="A20" i="12"/>
  <c r="A29" i="12"/>
  <c r="H12" i="8"/>
  <c r="H11" i="8"/>
  <c r="B3" i="12"/>
  <c r="A109" i="11"/>
  <c r="A101" i="11"/>
  <c r="A100" i="11"/>
  <c r="A92" i="11"/>
  <c r="A91" i="11"/>
  <c r="A83" i="11"/>
  <c r="A82" i="11"/>
  <c r="A74" i="11"/>
  <c r="A73" i="11"/>
  <c r="A65" i="11"/>
  <c r="A64" i="11"/>
  <c r="A56" i="11"/>
  <c r="A55" i="11"/>
  <c r="A47" i="11"/>
  <c r="A46" i="11"/>
  <c r="A38" i="11"/>
  <c r="A37" i="11"/>
  <c r="A29" i="11"/>
  <c r="A28" i="11"/>
  <c r="A20" i="11"/>
  <c r="A19" i="11"/>
  <c r="A11" i="11"/>
  <c r="A10" i="11"/>
  <c r="A2" i="11"/>
  <c r="B102" i="9"/>
  <c r="C1" i="6"/>
  <c r="D1" i="6"/>
  <c r="C1" i="3"/>
  <c r="D21" i="6"/>
  <c r="D104" i="9"/>
  <c r="B66" i="9"/>
  <c r="E1" i="6"/>
  <c r="F1" i="6"/>
  <c r="E67" i="9"/>
  <c r="B39" i="9"/>
  <c r="B2" i="3"/>
  <c r="C2" i="3"/>
  <c r="D2" i="3"/>
  <c r="D9" i="6"/>
  <c r="D41" i="9"/>
  <c r="B30" i="9"/>
  <c r="C30" i="9"/>
  <c r="A30" i="11"/>
  <c r="B21" i="9"/>
  <c r="C7" i="6"/>
  <c r="D22" i="9"/>
  <c r="B12" i="9"/>
  <c r="D6" i="6"/>
  <c r="D14" i="9"/>
  <c r="J31" i="4"/>
  <c r="J30" i="4"/>
  <c r="J29" i="4"/>
  <c r="J8" i="4"/>
  <c r="J7" i="4"/>
  <c r="G1" i="6"/>
  <c r="H1" i="6"/>
  <c r="I1" i="6"/>
  <c r="J1" i="6"/>
  <c r="K1" i="6"/>
  <c r="K1" i="8"/>
  <c r="L1" i="8"/>
  <c r="M1" i="8"/>
  <c r="N1" i="8"/>
  <c r="O1" i="8"/>
  <c r="D2" i="8"/>
  <c r="E2" i="8"/>
  <c r="F2" i="8"/>
  <c r="G2" i="8"/>
  <c r="H2" i="8"/>
  <c r="I2" i="8"/>
  <c r="J2" i="8"/>
  <c r="K2" i="8"/>
  <c r="L2" i="8"/>
  <c r="M2" i="8"/>
  <c r="N2" i="8"/>
  <c r="O2" i="8"/>
  <c r="L7" i="4"/>
  <c r="L8" i="4"/>
  <c r="L29" i="4"/>
  <c r="L30" i="4"/>
  <c r="D2" i="6"/>
  <c r="E2" i="6"/>
  <c r="F2" i="6"/>
  <c r="G2" i="6"/>
  <c r="H2" i="6"/>
  <c r="I2" i="6"/>
  <c r="J2" i="6"/>
  <c r="K2" i="6"/>
  <c r="B3" i="9"/>
  <c r="D5" i="6"/>
  <c r="D5" i="9"/>
  <c r="B57" i="9"/>
  <c r="C57" i="9"/>
  <c r="A57" i="11"/>
  <c r="L65" i="8"/>
  <c r="H65" i="8"/>
  <c r="K60" i="8"/>
  <c r="I60" i="8"/>
  <c r="I65" i="8"/>
  <c r="I66" i="8"/>
  <c r="L66" i="8"/>
  <c r="H66" i="8"/>
  <c r="H61" i="8"/>
  <c r="K61" i="8"/>
  <c r="I61" i="8"/>
  <c r="I67" i="8"/>
  <c r="L67" i="8"/>
  <c r="H67" i="8"/>
  <c r="A39" i="12"/>
  <c r="A48" i="12"/>
  <c r="A240" i="12"/>
  <c r="H59" i="8"/>
  <c r="K59" i="8"/>
  <c r="G6" i="8"/>
  <c r="G7" i="8"/>
  <c r="L61" i="8"/>
  <c r="L59" i="8"/>
  <c r="I59" i="8"/>
  <c r="L60" i="8"/>
  <c r="H60" i="8"/>
  <c r="B48" i="9"/>
  <c r="E51" i="9"/>
  <c r="A51" i="11"/>
  <c r="E2" i="3"/>
  <c r="F2" i="3"/>
  <c r="G2" i="3"/>
  <c r="H2" i="3"/>
  <c r="I2" i="3"/>
  <c r="D1" i="3"/>
  <c r="D7" i="6"/>
  <c r="D8" i="6"/>
  <c r="D10" i="6"/>
  <c r="D16" i="6"/>
  <c r="D17" i="6"/>
  <c r="D18" i="6"/>
  <c r="D19" i="6"/>
  <c r="D20" i="6"/>
  <c r="C5" i="6"/>
  <c r="C6" i="6"/>
  <c r="C8" i="6"/>
  <c r="C9" i="6"/>
  <c r="C10" i="6"/>
  <c r="G11" i="8"/>
  <c r="C66" i="9"/>
  <c r="A66" i="11"/>
  <c r="D59" i="9"/>
  <c r="I11" i="8"/>
  <c r="C39" i="9"/>
  <c r="A39" i="11"/>
  <c r="E42" i="9"/>
  <c r="A42" i="11"/>
  <c r="A57" i="12"/>
  <c r="G12" i="8"/>
  <c r="I12" i="8"/>
  <c r="A252" i="12"/>
  <c r="B75" i="9"/>
  <c r="F81" i="9"/>
  <c r="A81" i="11"/>
  <c r="F54" i="9"/>
  <c r="A54" i="11"/>
  <c r="I6" i="8"/>
  <c r="I7" i="8"/>
  <c r="J8" i="6"/>
  <c r="J7" i="6"/>
  <c r="J10" i="6"/>
  <c r="F52" i="9"/>
  <c r="A52" i="11"/>
  <c r="J6" i="6"/>
  <c r="F16" i="9"/>
  <c r="A16" i="11"/>
  <c r="J9" i="6"/>
  <c r="J5" i="6"/>
  <c r="C21" i="6"/>
  <c r="C20" i="6"/>
  <c r="C19" i="6"/>
  <c r="C18" i="6"/>
  <c r="C17" i="6"/>
  <c r="C16" i="6"/>
  <c r="E1" i="3"/>
  <c r="F1" i="3"/>
  <c r="G1" i="3"/>
  <c r="H1" i="3"/>
  <c r="I1" i="3"/>
  <c r="I11" i="4"/>
  <c r="G17" i="8"/>
  <c r="A66" i="12"/>
  <c r="A264" i="12"/>
  <c r="I29" i="4"/>
  <c r="G59" i="8"/>
  <c r="D67" i="9"/>
  <c r="B84" i="9"/>
  <c r="E87" i="9"/>
  <c r="A87" i="11"/>
  <c r="B93" i="9"/>
  <c r="D94" i="9"/>
  <c r="K6" i="8"/>
  <c r="K7" i="8"/>
  <c r="J20" i="6"/>
  <c r="J16" i="6"/>
  <c r="J19" i="6"/>
  <c r="J18" i="6"/>
  <c r="F79" i="9"/>
  <c r="A79" i="11"/>
  <c r="J21" i="6"/>
  <c r="J17" i="6"/>
  <c r="G10" i="6"/>
  <c r="G6" i="6"/>
  <c r="G9" i="6"/>
  <c r="G5" i="6"/>
  <c r="G8" i="6"/>
  <c r="G7" i="6"/>
  <c r="I13" i="4"/>
  <c r="G19" i="8"/>
  <c r="A75" i="12"/>
  <c r="I30" i="4"/>
  <c r="G60" i="8"/>
  <c r="H7" i="6"/>
  <c r="E26" i="9"/>
  <c r="A26" i="11"/>
  <c r="H10" i="6"/>
  <c r="H6" i="6"/>
  <c r="H9" i="6"/>
  <c r="E44" i="9"/>
  <c r="A44" i="11"/>
  <c r="H5" i="6"/>
  <c r="E8" i="9"/>
  <c r="A8" i="11"/>
  <c r="H8" i="6"/>
  <c r="G18" i="6"/>
  <c r="G21" i="6"/>
  <c r="G17" i="6"/>
  <c r="G20" i="6"/>
  <c r="G16" i="6"/>
  <c r="F59" i="9"/>
  <c r="G19" i="6"/>
  <c r="A84" i="12"/>
  <c r="I14" i="4"/>
  <c r="G20" i="8"/>
  <c r="I31" i="4"/>
  <c r="G61" i="8"/>
  <c r="F68" i="9"/>
  <c r="H19" i="6"/>
  <c r="H18" i="6"/>
  <c r="H21" i="6"/>
  <c r="H17" i="6"/>
  <c r="E71" i="9"/>
  <c r="A71" i="11"/>
  <c r="H20" i="6"/>
  <c r="H16" i="6"/>
  <c r="A93" i="12"/>
  <c r="A102" i="12"/>
  <c r="E62" i="9"/>
  <c r="A62" i="11"/>
  <c r="N11" i="3"/>
  <c r="G26" i="8"/>
  <c r="N9" i="3"/>
  <c r="N6" i="3"/>
  <c r="N10" i="3"/>
  <c r="N7" i="3"/>
  <c r="I17" i="4"/>
  <c r="N8" i="3"/>
  <c r="G65" i="8"/>
  <c r="G27" i="8"/>
  <c r="G67" i="8"/>
  <c r="G32" i="8"/>
  <c r="G39" i="8"/>
  <c r="G66" i="8"/>
  <c r="G24" i="8"/>
  <c r="E22" i="9"/>
  <c r="D40" i="9"/>
  <c r="B18" i="16"/>
  <c r="D18" i="16"/>
  <c r="F18" i="16"/>
  <c r="C19" i="16"/>
  <c r="B20" i="16"/>
  <c r="D20" i="16"/>
  <c r="F20" i="16"/>
  <c r="C18" i="16"/>
  <c r="B19" i="16"/>
  <c r="D19" i="16"/>
  <c r="F19" i="16"/>
  <c r="C20" i="16"/>
  <c r="F53" i="16"/>
  <c r="E107" i="9"/>
  <c r="A107" i="11"/>
  <c r="F104" i="9"/>
  <c r="F77" i="9"/>
  <c r="E35" i="9"/>
  <c r="A35" i="11"/>
  <c r="E17" i="9"/>
  <c r="A17" i="11"/>
  <c r="E53" i="9"/>
  <c r="A53" i="11"/>
  <c r="F106" i="9"/>
  <c r="A106" i="11"/>
  <c r="F32" i="9"/>
  <c r="F14" i="9"/>
  <c r="F50" i="9"/>
  <c r="F70" i="9"/>
  <c r="A70" i="11"/>
  <c r="F61" i="9"/>
  <c r="A61" i="11"/>
  <c r="D50" i="9"/>
  <c r="E49" i="9"/>
  <c r="C102" i="9"/>
  <c r="A102" i="11"/>
  <c r="F36" i="9"/>
  <c r="A36" i="11"/>
  <c r="D68" i="9"/>
  <c r="E105" i="9"/>
  <c r="A105" i="11"/>
  <c r="D4" i="12"/>
  <c r="C21" i="16"/>
  <c r="B22" i="16"/>
  <c r="D22" i="16"/>
  <c r="F22" i="16"/>
  <c r="C23" i="16"/>
  <c r="B24" i="16"/>
  <c r="D24" i="16"/>
  <c r="F24" i="16"/>
  <c r="C25" i="16"/>
  <c r="B26" i="16"/>
  <c r="D26" i="16"/>
  <c r="F26" i="16"/>
  <c r="C27" i="16"/>
  <c r="B28" i="16"/>
  <c r="D28" i="16"/>
  <c r="F28" i="16"/>
  <c r="C29" i="16"/>
  <c r="B30" i="16"/>
  <c r="D30" i="16"/>
  <c r="F30" i="16"/>
  <c r="C31" i="16"/>
  <c r="B32" i="16"/>
  <c r="D32" i="16"/>
  <c r="F32" i="16"/>
  <c r="C33" i="16"/>
  <c r="B34" i="16"/>
  <c r="D34" i="16"/>
  <c r="F34" i="16"/>
  <c r="C35" i="16"/>
  <c r="B36" i="16"/>
  <c r="D36" i="16"/>
  <c r="F36" i="16"/>
  <c r="C37" i="16"/>
  <c r="B38" i="16"/>
  <c r="D38" i="16"/>
  <c r="F38" i="16"/>
  <c r="C39" i="16"/>
  <c r="B40" i="16"/>
  <c r="D40" i="16"/>
  <c r="F40" i="16"/>
  <c r="C41" i="16"/>
  <c r="B42" i="16"/>
  <c r="D42" i="16"/>
  <c r="F42" i="16"/>
  <c r="C43" i="16"/>
  <c r="B44" i="16"/>
  <c r="D44" i="16"/>
  <c r="F44" i="16"/>
  <c r="C45" i="16"/>
  <c r="B46" i="16"/>
  <c r="D46" i="16"/>
  <c r="F46" i="16"/>
  <c r="C47" i="16"/>
  <c r="B48" i="16"/>
  <c r="D48" i="16"/>
  <c r="F48" i="16"/>
  <c r="C49" i="16"/>
  <c r="B50" i="16"/>
  <c r="D50" i="16"/>
  <c r="F50" i="16"/>
  <c r="C51" i="16"/>
  <c r="B52" i="16"/>
  <c r="D52" i="16"/>
  <c r="F52" i="16"/>
  <c r="C53" i="16"/>
  <c r="B21" i="16"/>
  <c r="D21" i="16"/>
  <c r="F21" i="16"/>
  <c r="C22" i="16"/>
  <c r="B23" i="16"/>
  <c r="D23" i="16"/>
  <c r="F23" i="16"/>
  <c r="C24" i="16"/>
  <c r="B25" i="16"/>
  <c r="D25" i="16"/>
  <c r="F25" i="16"/>
  <c r="C26" i="16"/>
  <c r="B27" i="16"/>
  <c r="D27" i="16"/>
  <c r="F27" i="16"/>
  <c r="C28" i="16"/>
  <c r="B29" i="16"/>
  <c r="D29" i="16"/>
  <c r="F29" i="16"/>
  <c r="C30" i="16"/>
  <c r="B31" i="16"/>
  <c r="D31" i="16"/>
  <c r="F31" i="16"/>
  <c r="C32" i="16"/>
  <c r="B33" i="16"/>
  <c r="D33" i="16"/>
  <c r="F33" i="16"/>
  <c r="C34" i="16"/>
  <c r="B35" i="16"/>
  <c r="D35" i="16"/>
  <c r="F35" i="16"/>
  <c r="C36" i="16"/>
  <c r="B37" i="16"/>
  <c r="D37" i="16"/>
  <c r="F37" i="16"/>
  <c r="C38" i="16"/>
  <c r="B39" i="16"/>
  <c r="D39" i="16"/>
  <c r="F39" i="16"/>
  <c r="C40" i="16"/>
  <c r="B41" i="16"/>
  <c r="D41" i="16"/>
  <c r="F41" i="16"/>
  <c r="C42" i="16"/>
  <c r="B43" i="16"/>
  <c r="D43" i="16"/>
  <c r="F43" i="16"/>
  <c r="C44" i="16"/>
  <c r="B45" i="16"/>
  <c r="D45" i="16"/>
  <c r="F45" i="16"/>
  <c r="C46" i="16"/>
  <c r="B47" i="16"/>
  <c r="D47" i="16"/>
  <c r="F47" i="16"/>
  <c r="C48" i="16"/>
  <c r="B49" i="16"/>
  <c r="D49" i="16"/>
  <c r="F49" i="16"/>
  <c r="C50" i="16"/>
  <c r="B51" i="16"/>
  <c r="D51" i="16"/>
  <c r="F51" i="16"/>
  <c r="C52" i="16"/>
  <c r="B53" i="16"/>
  <c r="D53" i="16"/>
  <c r="E80" i="9"/>
  <c r="A80" i="11"/>
  <c r="A59" i="11"/>
  <c r="E8" i="12"/>
  <c r="A8" i="13"/>
  <c r="F5" i="12"/>
  <c r="E4" i="12"/>
  <c r="E24" i="9"/>
  <c r="A24" i="11"/>
  <c r="F9" i="9"/>
  <c r="A9" i="11"/>
  <c r="E4" i="9"/>
  <c r="F9" i="12"/>
  <c r="A9" i="13"/>
  <c r="D23" i="9"/>
  <c r="E98" i="9"/>
  <c r="A98" i="11"/>
  <c r="D58" i="9"/>
  <c r="D103" i="9"/>
  <c r="F34" i="9"/>
  <c r="A34" i="11"/>
  <c r="D49" i="9"/>
  <c r="C48" i="9"/>
  <c r="A48" i="11"/>
  <c r="C12" i="9"/>
  <c r="A12" i="11"/>
  <c r="F108" i="9"/>
  <c r="A108" i="11"/>
  <c r="E69" i="9"/>
  <c r="A69" i="11"/>
  <c r="E89" i="9"/>
  <c r="A89" i="11"/>
  <c r="A104" i="11"/>
  <c r="F86" i="9"/>
  <c r="F95" i="9"/>
  <c r="F72" i="9"/>
  <c r="A72" i="11"/>
  <c r="D31" i="9"/>
  <c r="D32" i="9"/>
  <c r="A32" i="11"/>
  <c r="D13" i="9"/>
  <c r="E13" i="9"/>
  <c r="E31" i="9"/>
  <c r="E33" i="9"/>
  <c r="A33" i="11"/>
  <c r="E60" i="9"/>
  <c r="A60" i="11"/>
  <c r="F63" i="9"/>
  <c r="A63" i="11"/>
  <c r="E58" i="9"/>
  <c r="E103" i="9"/>
  <c r="A103" i="11"/>
  <c r="E15" i="9"/>
  <c r="A15" i="11"/>
  <c r="F18" i="9"/>
  <c r="A18" i="11"/>
  <c r="A67" i="11"/>
  <c r="A68" i="11"/>
  <c r="F23" i="9"/>
  <c r="F5" i="9"/>
  <c r="F41" i="9"/>
  <c r="A50" i="11"/>
  <c r="F7" i="9"/>
  <c r="A7" i="11"/>
  <c r="F43" i="9"/>
  <c r="A43" i="11"/>
  <c r="F25" i="9"/>
  <c r="A25" i="11"/>
  <c r="E40" i="9"/>
  <c r="A40" i="11"/>
  <c r="C3" i="12"/>
  <c r="A3" i="13"/>
  <c r="F45" i="9"/>
  <c r="A45" i="11"/>
  <c r="C21" i="9"/>
  <c r="A21" i="11"/>
  <c r="F27" i="9"/>
  <c r="A27" i="11"/>
  <c r="E6" i="9"/>
  <c r="A6" i="11"/>
  <c r="D4" i="9"/>
  <c r="A4" i="11"/>
  <c r="C3" i="9"/>
  <c r="A3" i="11"/>
  <c r="A22" i="11"/>
  <c r="A5" i="11"/>
  <c r="A41" i="11"/>
  <c r="C93" i="9"/>
  <c r="A93" i="11"/>
  <c r="E85" i="9"/>
  <c r="E94" i="9"/>
  <c r="F99" i="9"/>
  <c r="A99" i="11"/>
  <c r="F90" i="9"/>
  <c r="A90" i="11"/>
  <c r="D85" i="9"/>
  <c r="E76" i="9"/>
  <c r="D95" i="9"/>
  <c r="E96" i="9"/>
  <c r="A96" i="11"/>
  <c r="F88" i="9"/>
  <c r="A88" i="11"/>
  <c r="D86" i="9"/>
  <c r="A86" i="11"/>
  <c r="C84" i="9"/>
  <c r="A84" i="11"/>
  <c r="C75" i="9"/>
  <c r="A75" i="11"/>
  <c r="D76" i="9"/>
  <c r="A76" i="11"/>
  <c r="F97" i="9"/>
  <c r="A97" i="11"/>
  <c r="D77" i="9"/>
  <c r="A77" i="11"/>
  <c r="E78" i="9"/>
  <c r="A78" i="11"/>
  <c r="E7" i="12"/>
  <c r="A7" i="13"/>
  <c r="A49" i="11"/>
  <c r="A112" i="12"/>
  <c r="A4" i="13"/>
  <c r="D5" i="12"/>
  <c r="A5" i="13"/>
  <c r="A95" i="11"/>
  <c r="A14" i="11"/>
  <c r="E6" i="12"/>
  <c r="A6" i="13"/>
  <c r="A94" i="11"/>
  <c r="A85" i="11"/>
  <c r="A23" i="11"/>
  <c r="A58" i="11"/>
  <c r="A31" i="11"/>
  <c r="A13" i="11"/>
  <c r="A121" i="12"/>
  <c r="A130" i="12"/>
  <c r="A139" i="12"/>
  <c r="A148" i="12"/>
  <c r="A157" i="12"/>
  <c r="A166" i="12"/>
  <c r="A175" i="12"/>
  <c r="D7" i="16"/>
  <c r="B7" i="16"/>
  <c r="B6" i="16"/>
  <c r="D6" i="16"/>
  <c r="C6" i="16"/>
  <c r="D5" i="16"/>
  <c r="B5" i="16"/>
  <c r="B4" i="16"/>
  <c r="D4" i="16"/>
  <c r="C4" i="16"/>
  <c r="D3" i="16"/>
  <c r="B3" i="16"/>
  <c r="D2" i="16"/>
  <c r="B2" i="16"/>
  <c r="C2" i="16"/>
  <c r="C7" i="16"/>
  <c r="C5" i="16"/>
  <c r="C3" i="16"/>
</calcChain>
</file>

<file path=xl/comments1.xml><?xml version="1.0" encoding="utf-8"?>
<comments xmlns="http://schemas.openxmlformats.org/spreadsheetml/2006/main">
  <authors>
    <author>Bruno Merven</author>
    <author>Bruno</author>
  </authors>
  <commentList>
    <comment ref="N3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from SAPP model</t>
        </r>
      </text>
    </comment>
    <comment ref="E4" authorId="1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the ECOWAS master plan data document table 159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the ECOWAS master plan data document table 159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from World bank model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includes both lines:
1. Akosombo - Lome
2. Dapaong - Bawku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from Worldbank model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rough estimate from map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includes both lines:
1. Birnin-Kebbi - Niamey
2. Katsina - Gazaoua</t>
        </r>
      </text>
    </comment>
  </commentList>
</comments>
</file>

<file path=xl/comments2.xml><?xml version="1.0" encoding="utf-8"?>
<comments xmlns="http://schemas.openxmlformats.org/spreadsheetml/2006/main">
  <authors>
    <author>Bruno</author>
    <author>Bruno Merven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pool Plan study.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pool Plan study.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Alfstad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Based on 16hr/year per km - Personal communication JL Pabot 2006/Perdue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pool Plan study.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Overview RT Presentation July 2009.</t>
        </r>
      </text>
    </comment>
    <comment ref="F17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"boucle" modelled as two separate lines</t>
        </r>
      </text>
    </comment>
    <comment ref="U23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this is the line between Bolgantaga and Bobo Dioulasso.</t>
        </r>
      </text>
    </comment>
    <comment ref="F48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Project parameters not defined in report.</t>
        </r>
      </text>
    </comment>
    <comment ref="F51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Project parameters not defined in report.</t>
        </r>
      </text>
    </comment>
  </commentList>
</comments>
</file>

<file path=xl/sharedStrings.xml><?xml version="1.0" encoding="utf-8"?>
<sst xmlns="http://schemas.openxmlformats.org/spreadsheetml/2006/main" count="1765" uniqueCount="261">
  <si>
    <t>BOT</t>
  </si>
  <si>
    <t>LST</t>
  </si>
  <si>
    <t>Imports</t>
  </si>
  <si>
    <t>Exports</t>
  </si>
  <si>
    <t>Capacity (MW)</t>
  </si>
  <si>
    <t>Losses (%)</t>
  </si>
  <si>
    <t>Max Cap</t>
  </si>
  <si>
    <t>MW</t>
  </si>
  <si>
    <t>Existing Transmission infrastructure</t>
  </si>
  <si>
    <t>Country 1</t>
  </si>
  <si>
    <t>Line Capacity</t>
  </si>
  <si>
    <t>Loss Coefficient</t>
  </si>
  <si>
    <t>%</t>
  </si>
  <si>
    <t>Country 2</t>
  </si>
  <si>
    <t>[MW]</t>
  </si>
  <si>
    <t>Losses</t>
  </si>
  <si>
    <t>From</t>
  </si>
  <si>
    <t>To</t>
  </si>
  <si>
    <t>Forced Outage Rate</t>
  </si>
  <si>
    <t>kV</t>
  </si>
  <si>
    <t>Line Voltage</t>
  </si>
  <si>
    <t>Voltage</t>
  </si>
  <si>
    <t>km</t>
  </si>
  <si>
    <t>Total Investment</t>
  </si>
  <si>
    <t>US$million</t>
  </si>
  <si>
    <t>Investment cost</t>
  </si>
  <si>
    <t>$/kW</t>
  </si>
  <si>
    <t>Earliest year</t>
  </si>
  <si>
    <t>Stations</t>
  </si>
  <si>
    <t>Main Input</t>
  </si>
  <si>
    <t>Main Output</t>
  </si>
  <si>
    <t>First year</t>
  </si>
  <si>
    <t>operation time</t>
  </si>
  <si>
    <t>Plant life</t>
  </si>
  <si>
    <t>Investment Costs</t>
  </si>
  <si>
    <t>bdi (up)</t>
  </si>
  <si>
    <t>bdc (up)</t>
  </si>
  <si>
    <t>bdc (fx)</t>
  </si>
  <si>
    <t>MESSAGE Name</t>
  </si>
  <si>
    <t>Name</t>
  </si>
  <si>
    <t>Value</t>
  </si>
  <si>
    <t>share</t>
  </si>
  <si>
    <t>US$'00/kW</t>
  </si>
  <si>
    <t>Historical Cap</t>
  </si>
  <si>
    <t>Years</t>
  </si>
  <si>
    <t xml:space="preserve">Main Output </t>
  </si>
  <si>
    <t>Existing Transmission</t>
  </si>
  <si>
    <t>Existing Trans (Reverse)</t>
  </si>
  <si>
    <t>Reverse</t>
  </si>
  <si>
    <t>Forward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</si>
  <si>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</si>
  <si>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</si>
  <si>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</si>
  <si>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</si>
  <si>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</si>
  <si>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</si>
  <si>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</si>
  <si>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</si>
  <si>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</si>
  <si>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</si>
  <si>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</si>
  <si>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level</t>
  </si>
  <si>
    <t>code</t>
  </si>
  <si>
    <t>*</t>
  </si>
  <si>
    <t>minp</t>
  </si>
  <si>
    <t>moutp</t>
  </si>
  <si>
    <t>pll</t>
  </si>
  <si>
    <t>inv</t>
  </si>
  <si>
    <t>optm</t>
  </si>
  <si>
    <t>bdc</t>
  </si>
  <si>
    <t>con1c</t>
  </si>
  <si>
    <t>#</t>
  </si>
  <si>
    <t>hisc</t>
  </si>
  <si>
    <t>hc</t>
  </si>
  <si>
    <t>up</t>
  </si>
  <si>
    <t>ts</t>
  </si>
  <si>
    <t>alt</t>
  </si>
  <si>
    <t>m</t>
  </si>
  <si>
    <t>fyear</t>
  </si>
  <si>
    <t>Constraint value</t>
  </si>
  <si>
    <t>fx</t>
  </si>
  <si>
    <t>bdi</t>
  </si>
  <si>
    <t>ANr</t>
  </si>
  <si>
    <t>DRr</t>
  </si>
  <si>
    <t>MAr</t>
  </si>
  <si>
    <t>MOr</t>
  </si>
  <si>
    <t>NAr</t>
  </si>
  <si>
    <t>SAr</t>
  </si>
  <si>
    <t>SWr</t>
  </si>
  <si>
    <t>TAr</t>
  </si>
  <si>
    <t>ZAr</t>
  </si>
  <si>
    <t>ZIr</t>
  </si>
  <si>
    <t>Constraint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</si>
  <si>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</si>
  <si>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</si>
  <si>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</si>
  <si>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</si>
  <si>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</si>
  <si>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</si>
  <si>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</si>
  <si>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</si>
  <si>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</si>
  <si>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</si>
  <si>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</si>
  <si>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</si>
  <si>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Output</t>
  </si>
  <si>
    <t>Input</t>
  </si>
  <si>
    <t>Capacity</t>
  </si>
  <si>
    <t>New Capacity</t>
  </si>
  <si>
    <t>Investment Cost</t>
  </si>
  <si>
    <t>MAL</t>
  </si>
  <si>
    <t>h</t>
  </si>
  <si>
    <t>Country</t>
  </si>
  <si>
    <t>Country code</t>
  </si>
  <si>
    <t>Multi-reg code</t>
  </si>
  <si>
    <t>Multi-reg id</t>
  </si>
  <si>
    <t>BUw</t>
  </si>
  <si>
    <t>CIw</t>
  </si>
  <si>
    <t>GAw</t>
  </si>
  <si>
    <t>GHw</t>
  </si>
  <si>
    <t>GUw</t>
  </si>
  <si>
    <t>GBw</t>
  </si>
  <si>
    <t>LIw</t>
  </si>
  <si>
    <t>MAw</t>
  </si>
  <si>
    <t>NIw</t>
  </si>
  <si>
    <t>NGw</t>
  </si>
  <si>
    <t>SEw</t>
  </si>
  <si>
    <t>SIw</t>
  </si>
  <si>
    <t>TBw</t>
  </si>
  <si>
    <t>M</t>
  </si>
  <si>
    <t>Burkina</t>
  </si>
  <si>
    <t>Cote d'Ivoire</t>
  </si>
  <si>
    <t>Gambia</t>
  </si>
  <si>
    <t>Ghana</t>
  </si>
  <si>
    <t>Guinea</t>
  </si>
  <si>
    <t>Guinea-Bissau</t>
  </si>
  <si>
    <t>Liberia</t>
  </si>
  <si>
    <t>Mali</t>
  </si>
  <si>
    <t>Niger</t>
  </si>
  <si>
    <t>Nigeria</t>
  </si>
  <si>
    <t>Senegal</t>
  </si>
  <si>
    <t>Sierra Leone</t>
  </si>
  <si>
    <t>Togo/Benin</t>
  </si>
  <si>
    <t>BUR</t>
  </si>
  <si>
    <t>CIV</t>
  </si>
  <si>
    <t>GAM</t>
  </si>
  <si>
    <t>GHA</t>
  </si>
  <si>
    <t>GUI</t>
  </si>
  <si>
    <t>GBI</t>
  </si>
  <si>
    <t>LIB</t>
  </si>
  <si>
    <t>NIG</t>
  </si>
  <si>
    <t>NGA</t>
  </si>
  <si>
    <t>SEN</t>
  </si>
  <si>
    <t>SIE</t>
  </si>
  <si>
    <t>TBN</t>
  </si>
  <si>
    <t>Distance</t>
  </si>
  <si>
    <t>161x2</t>
  </si>
  <si>
    <t>132x2</t>
  </si>
  <si>
    <t>Volta - Sakete</t>
  </si>
  <si>
    <t>Riviera - Presea</t>
  </si>
  <si>
    <t xml:space="preserve">Capacity </t>
  </si>
  <si>
    <t>Corridor Nord</t>
  </si>
  <si>
    <t>Hub Intrazonal</t>
  </si>
  <si>
    <t>OMVG</t>
  </si>
  <si>
    <t>Dorsale Mediane</t>
  </si>
  <si>
    <t>Bumbuna (SI) - Linsan (GU)</t>
  </si>
  <si>
    <t>$/Euro</t>
  </si>
  <si>
    <t>2010$/2006$</t>
  </si>
  <si>
    <t>GDP deflator (annual change %) for US from "The World Bank"</t>
  </si>
  <si>
    <t>regress coefficient based on existing lines (Power = a+b*distance+c*voltage)</t>
  </si>
  <si>
    <t>Man (CI) - Yekepa (LI)</t>
  </si>
  <si>
    <t>Yekepa (LI) - Nzerekore (GU)</t>
  </si>
  <si>
    <t>Yekepa (LI) - Buchanan (LI) - Monrovia (LI) - Bumbuna (SI)</t>
  </si>
  <si>
    <t>Kaolack (SE) - Linsan (GU)</t>
  </si>
  <si>
    <t>Birkelane (SE) - Soma (GA)</t>
  </si>
  <si>
    <t>Mansoa (GB) - Linsan (GU)</t>
  </si>
  <si>
    <t>Soma (GA) - Bissau (GB)</t>
  </si>
  <si>
    <t>Birnin Kebbi (NG) - Niamey (NI)</t>
  </si>
  <si>
    <t>Zabori (NI) - Bembereke (TB)</t>
  </si>
  <si>
    <t>Niamey (NI) - Ouagadougou (BU)</t>
  </si>
  <si>
    <t>Bobo Dioulasse (BU) - Sikasso (MA)</t>
  </si>
  <si>
    <t>Segou (MA) - Ferkessedougou (CI)</t>
  </si>
  <si>
    <t>Fomi (GU) - Bamako (MA)</t>
  </si>
  <si>
    <t>Kaindhji (NG) - Kara/Bembereke/Parakou (TB)</t>
  </si>
  <si>
    <t>Kara/Bembereke/Parakou (TB) - Yendi (GH)</t>
  </si>
  <si>
    <t>$/km (330)</t>
  </si>
  <si>
    <t>$/km (225)</t>
  </si>
  <si>
    <t>OMVS</t>
  </si>
  <si>
    <t>Gouina (MA) - Tambacounda (SE)</t>
  </si>
  <si>
    <t>Projets Decides</t>
  </si>
  <si>
    <t>Projets Planifies</t>
  </si>
  <si>
    <t>Projets Envisages</t>
  </si>
  <si>
    <t>bdc (fx) str</t>
  </si>
  <si>
    <t>Dorsale 330 kV</t>
  </si>
  <si>
    <t>CLSG</t>
  </si>
  <si>
    <t>Dorsale 330kV</t>
  </si>
  <si>
    <t>ELEXGHwCIw</t>
  </si>
  <si>
    <t>ELEXGHwTBw</t>
  </si>
  <si>
    <t>ELEXSEwMAw</t>
  </si>
  <si>
    <t>ELEXCIwBUw</t>
  </si>
  <si>
    <t>ELEXNGwTBw</t>
  </si>
  <si>
    <t>ELEXNGwNIw</t>
  </si>
  <si>
    <t>ELEXCIwGHw</t>
  </si>
  <si>
    <t>ELEXTBwGHw</t>
  </si>
  <si>
    <t>ELEXMAwSEw</t>
  </si>
  <si>
    <t>ELEXBUwCIw</t>
  </si>
  <si>
    <t>ELEXTBwNGw</t>
  </si>
  <si>
    <t>ELEXNIwNGw</t>
  </si>
  <si>
    <t>ELNCDorGHwTBw</t>
  </si>
  <si>
    <t>ELNCDorCIwGHw</t>
  </si>
  <si>
    <t>ELNCDorTBwGHw</t>
  </si>
  <si>
    <t>ELNCDorGHwCIw</t>
  </si>
  <si>
    <t>ELNUCoNNGwNIw</t>
  </si>
  <si>
    <t>ELNUCoNNIwTBw</t>
  </si>
  <si>
    <t>ELNUCoNNIwBUw</t>
  </si>
  <si>
    <t>ELNUCoNNIwNGw</t>
  </si>
  <si>
    <t>ELNUCoNTBwNIw</t>
  </si>
  <si>
    <t>ELNUCoNBUwNIw</t>
  </si>
  <si>
    <t>ELNUhubGUwMAw</t>
  </si>
  <si>
    <t>ELNUhubMAwGUw</t>
  </si>
  <si>
    <t>ELNUDmeNGwTBw</t>
  </si>
  <si>
    <t>ELNUDMeTBwGHw</t>
  </si>
  <si>
    <t>ELNUDMeTBwNGw</t>
  </si>
  <si>
    <t>ELNUDMeGHwTBw</t>
  </si>
  <si>
    <t>ELNUOMVGMAwSEw</t>
  </si>
  <si>
    <t>ELNUOMVSSEwMAw</t>
  </si>
  <si>
    <t>ELNCOMVGSEwGUw</t>
  </si>
  <si>
    <t>ELNCOMVGSEwGAw</t>
  </si>
  <si>
    <t>ELNCOMVGGAwGBw</t>
  </si>
  <si>
    <t>ELNCOMVGGBwGUw</t>
  </si>
  <si>
    <t>ELNCOMVGGUwSEw</t>
  </si>
  <si>
    <t>ELNCOMVGGAwSEw</t>
  </si>
  <si>
    <t>ELNCOMVGGBwGAw</t>
  </si>
  <si>
    <t>ELNCOMVGGUwGBw</t>
  </si>
  <si>
    <t>ELNCCLSGCIwLIw</t>
  </si>
  <si>
    <t>ELNCCLSGLIwGUw</t>
  </si>
  <si>
    <t>ELNCCLSGLIwSIw</t>
  </si>
  <si>
    <t>ELNCCLSGSIwGUw</t>
  </si>
  <si>
    <t>ELNCCLSGLIwCIw</t>
  </si>
  <si>
    <t>ELNCCLSGGUwLIw</t>
  </si>
  <si>
    <t>ELNCCLSGSIwLIw</t>
  </si>
  <si>
    <t>ELNCCLSGGUwSIw</t>
  </si>
  <si>
    <t>ELNUIngDRcNGw</t>
  </si>
  <si>
    <t>Bolgatana (GH) - Bobo Dioulasse + Ouagadougou (BU)</t>
  </si>
  <si>
    <t>Liberia Cote d'Ivoire</t>
  </si>
  <si>
    <t>Monrovia (LI) - San Pedro (CI)</t>
  </si>
  <si>
    <t>Nigeria Benin Reinforcement</t>
  </si>
  <si>
    <t>Sakete (TB) - Omotosho (NG)</t>
  </si>
  <si>
    <t>ELNChubGHwBUw</t>
  </si>
  <si>
    <t>ELNChubBUwMAw</t>
  </si>
  <si>
    <t>ELNChubMAwCIw</t>
  </si>
  <si>
    <t>ELNChubBUwGHw</t>
  </si>
  <si>
    <t>ELNChubMAwBUw</t>
  </si>
  <si>
    <t>ELNChubCIwMAw</t>
  </si>
  <si>
    <t>ELNULICILIwCIw</t>
  </si>
  <si>
    <t>ELNULICICIwLIw</t>
  </si>
  <si>
    <t>ELNUNGTBNGwTBw</t>
  </si>
  <si>
    <t>ELNUNGTBTBwNGw</t>
  </si>
  <si>
    <t>n</t>
  </si>
  <si>
    <t>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</si>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</sst>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"/>
    <numFmt numFmtId="167" formatCode="0.0E+00"/>
  </numFmts>
  <fonts count="16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9" fontId="3" fillId="0" borderId="0" applyFont="0" applyFill="0" applyBorder="0" applyAlignment="0" applyProtection="0"/>
    <xf numFmtId="0" fontId="10" fillId="0" borderId="18" applyNumberFormat="0" applyFill="0" applyAlignment="0" applyProtection="0"/>
    <xf numFmtId="0" fontId="12" fillId="0" borderId="0"/>
    <xf numFmtId="0" fontId="15" fillId="6" borderId="0" applyNumberFormat="0" applyBorder="0" applyAlignment="0" applyProtection="0"/>
  </cellStyleXfs>
  <cellXfs count="114">
    <xf numFmtId="0" fontId="0" fillId="0" borderId="0" xfId="0"/>
    <xf numFmtId="0" fontId="6" fillId="0" borderId="0" xfId="4" applyBorder="1" applyAlignment="1">
      <alignment horizontal="center" vertical="center" wrapText="1"/>
    </xf>
    <xf numFmtId="0" fontId="0" fillId="0" borderId="0" xfId="0" applyBorder="1"/>
    <xf numFmtId="0" fontId="4" fillId="2" borderId="0" xfId="1"/>
    <xf numFmtId="0" fontId="6" fillId="0" borderId="0" xfId="4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8" fillId="0" borderId="1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9" fontId="0" fillId="0" borderId="0" xfId="0" applyNumberFormat="1"/>
    <xf numFmtId="9" fontId="3" fillId="0" borderId="0" xfId="6" applyFont="1"/>
    <xf numFmtId="164" fontId="3" fillId="0" borderId="0" xfId="6" applyNumberFormat="1" applyFont="1"/>
    <xf numFmtId="2" fontId="3" fillId="0" borderId="0" xfId="6" applyNumberFormat="1" applyFont="1"/>
    <xf numFmtId="166" fontId="0" fillId="0" borderId="0" xfId="0" applyNumberFormat="1"/>
    <xf numFmtId="0" fontId="9" fillId="0" borderId="0" xfId="0" applyFont="1"/>
    <xf numFmtId="0" fontId="8" fillId="0" borderId="17" xfId="2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/>
    <xf numFmtId="164" fontId="0" fillId="0" borderId="0" xfId="0" applyNumberFormat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8" xfId="0" applyNumberFormat="1" applyBorder="1"/>
    <xf numFmtId="0" fontId="0" fillId="0" borderId="13" xfId="0" applyBorder="1"/>
    <xf numFmtId="0" fontId="0" fillId="0" borderId="11" xfId="0" applyBorder="1" applyAlignment="1">
      <alignment horizontal="center"/>
    </xf>
    <xf numFmtId="2" fontId="0" fillId="0" borderId="5" xfId="0" applyNumberFormat="1" applyBorder="1"/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" fillId="0" borderId="0" xfId="4"/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0" borderId="14" xfId="4" applyNumberFormat="1" applyFont="1" applyBorder="1" applyAlignment="1">
      <alignment horizontal="center" vertical="center" wrapText="1"/>
    </xf>
    <xf numFmtId="0" fontId="8" fillId="0" borderId="13" xfId="4" applyNumberFormat="1" applyFont="1" applyBorder="1" applyAlignment="1">
      <alignment horizontal="center" vertical="center" wrapText="1"/>
    </xf>
    <xf numFmtId="2" fontId="0" fillId="0" borderId="14" xfId="0" applyNumberFormat="1" applyBorder="1"/>
    <xf numFmtId="2" fontId="0" fillId="0" borderId="13" xfId="0" applyNumberFormat="1" applyBorder="1"/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6" xfId="3" applyAlignment="1">
      <alignment horizontal="left"/>
    </xf>
    <xf numFmtId="0" fontId="7" fillId="3" borderId="0" xfId="5"/>
    <xf numFmtId="0" fontId="0" fillId="0" borderId="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4" borderId="0" xfId="0" applyFill="1"/>
    <xf numFmtId="166" fontId="0" fillId="0" borderId="7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7" fillId="4" borderId="0" xfId="5" applyFill="1"/>
    <xf numFmtId="0" fontId="6" fillId="0" borderId="0" xfId="4" applyAlignment="1">
      <alignment wrapText="1"/>
    </xf>
    <xf numFmtId="0" fontId="6" fillId="0" borderId="7" xfId="4" applyBorder="1" applyAlignment="1">
      <alignment horizontal="center" wrapText="1"/>
    </xf>
    <xf numFmtId="0" fontId="6" fillId="0" borderId="14" xfId="4" applyBorder="1" applyAlignment="1">
      <alignment horizontal="center" wrapText="1"/>
    </xf>
    <xf numFmtId="0" fontId="6" fillId="0" borderId="4" xfId="4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0" xfId="1" applyFont="1" applyFill="1"/>
    <xf numFmtId="10" fontId="11" fillId="0" borderId="0" xfId="6" applyNumberFormat="1" applyFont="1" applyFill="1"/>
    <xf numFmtId="164" fontId="11" fillId="0" borderId="0" xfId="6" applyNumberFormat="1" applyFont="1" applyFill="1"/>
    <xf numFmtId="0" fontId="11" fillId="0" borderId="0" xfId="0" applyFont="1" applyFill="1"/>
    <xf numFmtId="166" fontId="11" fillId="0" borderId="0" xfId="0" applyNumberFormat="1" applyFont="1" applyFill="1"/>
    <xf numFmtId="167" fontId="0" fillId="0" borderId="0" xfId="0" applyNumberFormat="1"/>
    <xf numFmtId="2" fontId="0" fillId="0" borderId="0" xfId="6" applyNumberFormat="1" applyFont="1"/>
    <xf numFmtId="0" fontId="12" fillId="0" borderId="0" xfId="8" applyFont="1"/>
    <xf numFmtId="0" fontId="13" fillId="5" borderId="19" xfId="8" applyNumberFormat="1" applyFont="1" applyFill="1" applyBorder="1" applyAlignment="1" applyProtection="1">
      <alignment horizontal="center" vertical="center" wrapText="1"/>
    </xf>
    <xf numFmtId="4" fontId="14" fillId="0" borderId="19" xfId="8" applyNumberFormat="1" applyFont="1" applyFill="1" applyBorder="1" applyAlignment="1" applyProtection="1">
      <alignment horizontal="right" vertical="center" wrapText="1"/>
    </xf>
    <xf numFmtId="4" fontId="14" fillId="0" borderId="0" xfId="8" applyNumberFormat="1" applyFont="1" applyFill="1" applyBorder="1" applyAlignment="1" applyProtection="1">
      <alignment horizontal="left" vertical="center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2" fontId="8" fillId="0" borderId="0" xfId="4" applyNumberFormat="1" applyFont="1" applyBorder="1" applyAlignment="1">
      <alignment horizontal="center" vertical="center" wrapText="1"/>
    </xf>
    <xf numFmtId="0" fontId="10" fillId="0" borderId="18" xfId="7"/>
    <xf numFmtId="165" fontId="9" fillId="0" borderId="0" xfId="0" applyNumberFormat="1" applyFont="1"/>
    <xf numFmtId="165" fontId="8" fillId="0" borderId="1" xfId="4" applyNumberFormat="1" applyFont="1" applyBorder="1" applyAlignment="1">
      <alignment horizontal="center" vertical="center" wrapText="1"/>
    </xf>
    <xf numFmtId="165" fontId="8" fillId="0" borderId="2" xfId="4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ill="1"/>
    <xf numFmtId="0" fontId="0" fillId="0" borderId="20" xfId="0" applyBorder="1"/>
    <xf numFmtId="0" fontId="0" fillId="0" borderId="0" xfId="0" applyFill="1" applyBorder="1"/>
    <xf numFmtId="0" fontId="15" fillId="6" borderId="0" xfId="9"/>
    <xf numFmtId="166" fontId="4" fillId="2" borderId="0" xfId="1" applyNumberFormat="1"/>
    <xf numFmtId="10" fontId="4" fillId="2" borderId="0" xfId="1" applyNumberFormat="1"/>
    <xf numFmtId="164" fontId="4" fillId="2" borderId="0" xfId="1" applyNumberFormat="1"/>
  </cellXfs>
  <cellStyles count="10">
    <cellStyle name="Bad" xfId="1" builtinId="27"/>
    <cellStyle name="Good" xfId="9" builtinId="26"/>
    <cellStyle name="Heading 1" xfId="2" builtinId="16"/>
    <cellStyle name="Heading 2" xfId="7" builtinId="17"/>
    <cellStyle name="Heading 3" xfId="3" builtinId="18"/>
    <cellStyle name="Heading 4" xfId="4" builtinId="19"/>
    <cellStyle name="Neutral" xfId="5" builtinId="28"/>
    <cellStyle name="Normal" xfId="0" builtinId="0"/>
    <cellStyle name="Normal 2 2" xfId="8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uno/My%20Documents/IAEA/SADC_IAEA/Report%201%20final/SADC%20Supply_data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onvs"/>
      <sheetName val="SA System"/>
      <sheetName val="EskomCoalEff"/>
      <sheetName val="HistCapSA"/>
      <sheetName val="Total Existing Capacity"/>
      <sheetName val="SAPP Thermal Existing"/>
      <sheetName val="SAPP Hydro Existing"/>
      <sheetName val="MSG_Exist"/>
      <sheetName val="adb_exist"/>
      <sheetName val="adb_exist2"/>
      <sheetName val="SiteSpecific_data"/>
      <sheetName val="MSG_SiteSpecific"/>
      <sheetName val="adb_sitespec"/>
      <sheetName val="adb_sitespec2"/>
      <sheetName val="Oper therm SiteSpec"/>
      <sheetName val="Oper hydro SiteSpec"/>
      <sheetName val="GenericSourceData"/>
      <sheetName val="MSG_Generic"/>
      <sheetName val="adb_generic"/>
      <sheetName val="adb_generic2"/>
      <sheetName val="CurAssumptions"/>
      <sheetName val="SAPP_FuelPrices"/>
      <sheetName val="FuelSourceData"/>
      <sheetName val="MSG_Fueldata"/>
      <sheetName val="TechCosts"/>
      <sheetName val="FuelCosts"/>
    </sheetNames>
    <sheetDataSet>
      <sheetData sheetId="0">
        <row r="81">
          <cell r="A81" t="str">
            <v>Biomass/Primary</v>
          </cell>
          <cell r="B81" t="str">
            <v>b-p</v>
          </cell>
        </row>
        <row r="82">
          <cell r="A82" t="str">
            <v>Coal/Primary</v>
          </cell>
          <cell r="B82" t="str">
            <v>c-p</v>
          </cell>
        </row>
        <row r="83">
          <cell r="A83" t="str">
            <v>Gas/Primary</v>
          </cell>
          <cell r="B83" t="str">
            <v>g-p</v>
          </cell>
        </row>
        <row r="84">
          <cell r="A84" t="str">
            <v>Nuclear/Primary</v>
          </cell>
          <cell r="B84" t="str">
            <v>n-p</v>
          </cell>
        </row>
        <row r="85">
          <cell r="A85" t="str">
            <v>Oil/Primary</v>
          </cell>
          <cell r="B85" t="str">
            <v>o-p</v>
          </cell>
        </row>
        <row r="86">
          <cell r="A86" t="str">
            <v>Electricity/Tertiary</v>
          </cell>
          <cell r="B86" t="str">
            <v>e-t</v>
          </cell>
        </row>
        <row r="87">
          <cell r="A87" t="str">
            <v>Electricity/Final</v>
          </cell>
          <cell r="B87" t="str">
            <v>e-f</v>
          </cell>
        </row>
      </sheetData>
      <sheetData sheetId="1"/>
      <sheetData sheetId="2"/>
      <sheetData sheetId="3"/>
      <sheetData sheetId="4">
        <row r="3">
          <cell r="A3" t="str">
            <v>Angola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</sheetPr>
  <dimension ref="A1:N11"/>
  <sheetViews>
    <sheetView workbookViewId="0"/>
  </sheetViews>
  <sheetFormatPr defaultRowHeight="15" x14ac:dyDescent="0.25"/>
  <cols>
    <col min="1" max="1" width="12.140625" customWidth="1"/>
    <col min="2" max="2" width="13.140625" customWidth="1"/>
    <col min="5" max="5" width="16.5703125" customWidth="1"/>
    <col min="6" max="7" width="9" customWidth="1"/>
    <col min="8" max="8" width="10.5703125" customWidth="1"/>
    <col min="9" max="9" width="13.140625" customWidth="1"/>
  </cols>
  <sheetData>
    <row r="1" spans="1:14" x14ac:dyDescent="0.25">
      <c r="B1">
        <v>1</v>
      </c>
      <c r="C1">
        <f t="shared" ref="C1:F2" si="0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ref="G1:G2" si="1">F1+1</f>
        <v>6</v>
      </c>
      <c r="H1">
        <f t="shared" ref="H1:H2" si="2">G1+1</f>
        <v>7</v>
      </c>
      <c r="I1">
        <f t="shared" ref="I1:I2" si="3">H1+1</f>
        <v>8</v>
      </c>
    </row>
    <row r="2" spans="1:14" x14ac:dyDescent="0.25">
      <c r="A2">
        <v>1</v>
      </c>
      <c r="B2">
        <f>A2+1</f>
        <v>2</v>
      </c>
      <c r="C2">
        <f t="shared" si="0"/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1"/>
        <v>7</v>
      </c>
      <c r="H2">
        <f t="shared" si="2"/>
        <v>8</v>
      </c>
      <c r="I2">
        <f t="shared" si="3"/>
        <v>9</v>
      </c>
    </row>
    <row r="3" spans="1:14" ht="15.75" thickBot="1" x14ac:dyDescent="0.3">
      <c r="C3" s="68" t="s">
        <v>8</v>
      </c>
      <c r="D3" s="68"/>
      <c r="E3" s="68"/>
      <c r="F3" s="68"/>
      <c r="G3" s="68"/>
      <c r="H3" s="68"/>
      <c r="I3" s="68"/>
      <c r="N3" s="68">
        <v>1.1711587418904492E-4</v>
      </c>
    </row>
    <row r="4" spans="1:14" ht="30.75" customHeight="1" x14ac:dyDescent="0.25">
      <c r="A4" t="s">
        <v>49</v>
      </c>
      <c r="B4" t="s">
        <v>48</v>
      </c>
      <c r="C4" s="1" t="s">
        <v>9</v>
      </c>
      <c r="D4" s="1" t="s">
        <v>13</v>
      </c>
      <c r="E4" s="4" t="s">
        <v>20</v>
      </c>
      <c r="F4" s="1" t="s">
        <v>10</v>
      </c>
      <c r="G4" s="1" t="s">
        <v>155</v>
      </c>
      <c r="H4" s="1" t="s">
        <v>11</v>
      </c>
      <c r="I4" s="1" t="s">
        <v>18</v>
      </c>
      <c r="N4" s="1" t="s">
        <v>11</v>
      </c>
    </row>
    <row r="5" spans="1:14" x14ac:dyDescent="0.25">
      <c r="C5" s="1"/>
      <c r="D5" s="1"/>
      <c r="E5" s="4" t="s">
        <v>19</v>
      </c>
      <c r="F5" s="1" t="s">
        <v>7</v>
      </c>
      <c r="G5" s="1" t="s">
        <v>22</v>
      </c>
      <c r="H5" s="1" t="s">
        <v>12</v>
      </c>
      <c r="I5" s="1" t="s">
        <v>12</v>
      </c>
      <c r="N5" s="1" t="s">
        <v>12</v>
      </c>
    </row>
    <row r="6" spans="1:14" x14ac:dyDescent="0.25">
      <c r="A6" t="str">
        <f>"ELEX"&amp;C6&amp;D6</f>
        <v>ELEXGHwCIw</v>
      </c>
      <c r="B6" t="str">
        <f>"ELEX"&amp;D6&amp;C6</f>
        <v>ELEXCIwGHw</v>
      </c>
      <c r="C6" t="s">
        <v>119</v>
      </c>
      <c r="D6" t="s">
        <v>117</v>
      </c>
      <c r="E6" s="5">
        <v>225</v>
      </c>
      <c r="F6" s="84">
        <v>327</v>
      </c>
      <c r="G6" s="84">
        <v>220</v>
      </c>
      <c r="H6" s="85">
        <v>3.0300000000000001E-2</v>
      </c>
      <c r="I6" s="86">
        <f>ROUND(16/8760*G6/100,4)</f>
        <v>4.0000000000000001E-3</v>
      </c>
      <c r="N6" s="85">
        <f>MAX(2.5%,$N$3*G6)</f>
        <v>2.5765492321589881E-2</v>
      </c>
    </row>
    <row r="7" spans="1:14" x14ac:dyDescent="0.25">
      <c r="A7" t="str">
        <f t="shared" ref="A7:A11" si="4">"ELEX"&amp;C7&amp;D7</f>
        <v>ELEXGHwTBw</v>
      </c>
      <c r="B7" t="str">
        <f t="shared" ref="B7:B11" si="5">"ELEX"&amp;D7&amp;C7</f>
        <v>ELEXTBwGHw</v>
      </c>
      <c r="C7" t="s">
        <v>119</v>
      </c>
      <c r="D7" t="s">
        <v>128</v>
      </c>
      <c r="E7" s="5" t="s">
        <v>156</v>
      </c>
      <c r="F7" s="87">
        <f>128+182</f>
        <v>310</v>
      </c>
      <c r="G7" s="88">
        <f>(128.7*128+65*182)/(128+182)</f>
        <v>91.301935483870963</v>
      </c>
      <c r="H7" s="85">
        <v>2.5000000000000001E-2</v>
      </c>
      <c r="I7" s="86">
        <f t="shared" ref="I7:I11" si="6">ROUND(16/8760*G7/100,4)</f>
        <v>1.6999999999999999E-3</v>
      </c>
      <c r="N7" s="85">
        <f t="shared" ref="N7:N11" si="7">MAX(2.5%,$N$3*G7)</f>
        <v>2.5000000000000001E-2</v>
      </c>
    </row>
    <row r="8" spans="1:14" x14ac:dyDescent="0.25">
      <c r="A8" t="str">
        <f t="shared" si="4"/>
        <v>ELEXSEwMAw</v>
      </c>
      <c r="B8" t="str">
        <f t="shared" si="5"/>
        <v>ELEXMAwSEw</v>
      </c>
      <c r="C8" t="s">
        <v>126</v>
      </c>
      <c r="D8" t="s">
        <v>123</v>
      </c>
      <c r="E8" s="5">
        <v>225</v>
      </c>
      <c r="F8" s="3">
        <v>100</v>
      </c>
      <c r="G8" s="3">
        <v>1200</v>
      </c>
      <c r="H8" s="85">
        <v>5.4600000000000003E-2</v>
      </c>
      <c r="I8" s="86">
        <f t="shared" si="6"/>
        <v>2.1899999999999999E-2</v>
      </c>
      <c r="N8" s="85">
        <f t="shared" si="7"/>
        <v>0.14053904902685391</v>
      </c>
    </row>
    <row r="9" spans="1:14" x14ac:dyDescent="0.25">
      <c r="A9" t="str">
        <f t="shared" si="4"/>
        <v>ELEXCIwBUw</v>
      </c>
      <c r="B9" t="str">
        <f t="shared" si="5"/>
        <v>ELEXBUwCIw</v>
      </c>
      <c r="C9" t="s">
        <v>117</v>
      </c>
      <c r="D9" t="s">
        <v>116</v>
      </c>
      <c r="E9" s="5">
        <v>225</v>
      </c>
      <c r="F9" s="87">
        <v>327</v>
      </c>
      <c r="G9" s="87">
        <v>221.8</v>
      </c>
      <c r="H9" s="85">
        <v>3.4799999999999998E-2</v>
      </c>
      <c r="I9" s="86">
        <f t="shared" si="6"/>
        <v>4.1000000000000003E-3</v>
      </c>
      <c r="N9" s="85">
        <f t="shared" si="7"/>
        <v>2.5976300895130165E-2</v>
      </c>
    </row>
    <row r="10" spans="1:14" x14ac:dyDescent="0.25">
      <c r="A10" t="str">
        <f t="shared" si="4"/>
        <v>ELEXNGwTBw</v>
      </c>
      <c r="B10" t="str">
        <f t="shared" si="5"/>
        <v>ELEXTBwNGw</v>
      </c>
      <c r="C10" t="s">
        <v>125</v>
      </c>
      <c r="D10" t="s">
        <v>128</v>
      </c>
      <c r="E10" s="5">
        <v>330</v>
      </c>
      <c r="F10" s="87">
        <v>686</v>
      </c>
      <c r="G10" s="87">
        <v>75</v>
      </c>
      <c r="H10" s="85">
        <v>2.5000000000000001E-2</v>
      </c>
      <c r="I10" s="86">
        <f t="shared" si="6"/>
        <v>1.4E-3</v>
      </c>
      <c r="N10" s="85">
        <f t="shared" si="7"/>
        <v>2.5000000000000001E-2</v>
      </c>
    </row>
    <row r="11" spans="1:14" x14ac:dyDescent="0.25">
      <c r="A11" t="str">
        <f t="shared" si="4"/>
        <v>ELEXNGwNIw</v>
      </c>
      <c r="B11" t="str">
        <f t="shared" si="5"/>
        <v>ELEXNIwNGw</v>
      </c>
      <c r="C11" t="s">
        <v>125</v>
      </c>
      <c r="D11" t="s">
        <v>124</v>
      </c>
      <c r="E11" s="5" t="s">
        <v>157</v>
      </c>
      <c r="F11" s="84">
        <f>84.6*2</f>
        <v>169.2</v>
      </c>
      <c r="G11" s="84">
        <f>(252+72)/2</f>
        <v>162</v>
      </c>
      <c r="H11" s="85">
        <v>2.6200000000000001E-2</v>
      </c>
      <c r="I11" s="86">
        <f t="shared" si="6"/>
        <v>3.0000000000000001E-3</v>
      </c>
      <c r="N11" s="85">
        <f t="shared" si="7"/>
        <v>2.5000000000000001E-2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</sheetPr>
  <dimension ref="A1:I14"/>
  <sheetViews>
    <sheetView workbookViewId="0"/>
  </sheetViews>
  <sheetFormatPr defaultRowHeight="15" x14ac:dyDescent="0.25"/>
  <cols>
    <col min="2" max="2" width="27.85546875" customWidth="1"/>
    <col min="6" max="6" width="13.42578125" customWidth="1"/>
    <col min="7" max="7" width="9.140625" customWidth="1"/>
  </cols>
  <sheetData>
    <row r="1" spans="1:9" ht="30" x14ac:dyDescent="0.25">
      <c r="D1" t="s">
        <v>61</v>
      </c>
      <c r="E1" t="s">
        <v>62</v>
      </c>
      <c r="F1" s="78" t="s">
        <v>112</v>
      </c>
      <c r="G1" s="79" t="s">
        <v>113</v>
      </c>
      <c r="H1" s="80" t="s">
        <v>114</v>
      </c>
      <c r="I1" s="81" t="s">
        <v>115</v>
      </c>
    </row>
    <row r="2" spans="1:9" x14ac:dyDescent="0.25">
      <c r="A2" t="s">
        <v>116</v>
      </c>
      <c r="B2" t="str">
        <f>"Electricity/Secondary/"&amp;energyforms!A2</f>
        <v>Electricity/Secondary/BUw</v>
      </c>
      <c r="C2" t="s">
        <v>54</v>
      </c>
      <c r="D2" t="s">
        <v>93</v>
      </c>
      <c r="E2" t="str">
        <f>C2&amp;"-"&amp;D2&amp;"-"&amp;A2</f>
        <v>e-A-BUw</v>
      </c>
      <c r="F2" t="s">
        <v>130</v>
      </c>
      <c r="G2" s="45" t="s">
        <v>143</v>
      </c>
      <c r="H2" s="82" t="str">
        <f>A2</f>
        <v>BUw</v>
      </c>
      <c r="I2" s="66" t="s">
        <v>50</v>
      </c>
    </row>
    <row r="3" spans="1:9" x14ac:dyDescent="0.25">
      <c r="A3" t="s">
        <v>117</v>
      </c>
      <c r="B3" t="str">
        <f>"Electricity/Secondary/"&amp;energyforms!A3</f>
        <v>Electricity/Secondary/CIw</v>
      </c>
      <c r="C3" t="s">
        <v>54</v>
      </c>
      <c r="D3" t="s">
        <v>94</v>
      </c>
      <c r="E3" t="str">
        <f t="shared" ref="E3:E14" si="0">C3&amp;"-"&amp;D3&amp;"-"&amp;A3</f>
        <v>e-B-CIw</v>
      </c>
      <c r="F3" t="s">
        <v>131</v>
      </c>
      <c r="G3" s="46" t="s">
        <v>144</v>
      </c>
      <c r="H3" s="58" t="str">
        <f t="shared" ref="H3:H13" si="1">A3</f>
        <v>CIw</v>
      </c>
      <c r="I3" s="27" t="s">
        <v>51</v>
      </c>
    </row>
    <row r="4" spans="1:9" x14ac:dyDescent="0.25">
      <c r="A4" t="s">
        <v>118</v>
      </c>
      <c r="B4" t="str">
        <f>"Electricity/Secondary/"&amp;energyforms!A4</f>
        <v>Electricity/Secondary/GAw</v>
      </c>
      <c r="C4" t="s">
        <v>54</v>
      </c>
      <c r="D4" t="s">
        <v>95</v>
      </c>
      <c r="E4" t="str">
        <f t="shared" si="0"/>
        <v>e-C-GAw</v>
      </c>
      <c r="F4" t="s">
        <v>132</v>
      </c>
      <c r="G4" s="46" t="s">
        <v>145</v>
      </c>
      <c r="H4" s="58" t="str">
        <f t="shared" si="1"/>
        <v>GAw</v>
      </c>
      <c r="I4" s="27" t="s">
        <v>52</v>
      </c>
    </row>
    <row r="5" spans="1:9" x14ac:dyDescent="0.25">
      <c r="A5" t="s">
        <v>119</v>
      </c>
      <c r="B5" t="str">
        <f>"Electricity/Secondary/"&amp;energyforms!A5</f>
        <v>Electricity/Secondary/GHw</v>
      </c>
      <c r="C5" t="s">
        <v>54</v>
      </c>
      <c r="D5" t="s">
        <v>96</v>
      </c>
      <c r="E5" t="str">
        <f t="shared" si="0"/>
        <v>e-D-GHw</v>
      </c>
      <c r="F5" t="s">
        <v>133</v>
      </c>
      <c r="G5" s="46" t="s">
        <v>146</v>
      </c>
      <c r="H5" s="58" t="str">
        <f t="shared" si="1"/>
        <v>GHw</v>
      </c>
      <c r="I5" s="27" t="s">
        <v>53</v>
      </c>
    </row>
    <row r="6" spans="1:9" x14ac:dyDescent="0.25">
      <c r="A6" t="s">
        <v>120</v>
      </c>
      <c r="B6" t="str">
        <f>"Electricity/Secondary/"&amp;energyforms!A6</f>
        <v>Electricity/Secondary/GUw</v>
      </c>
      <c r="C6" t="s">
        <v>54</v>
      </c>
      <c r="D6" t="s">
        <v>97</v>
      </c>
      <c r="E6" t="str">
        <f t="shared" si="0"/>
        <v>e-E-GUw</v>
      </c>
      <c r="F6" t="s">
        <v>134</v>
      </c>
      <c r="G6" s="46" t="s">
        <v>147</v>
      </c>
      <c r="H6" s="58" t="str">
        <f t="shared" si="1"/>
        <v>GUw</v>
      </c>
      <c r="I6" s="27" t="s">
        <v>54</v>
      </c>
    </row>
    <row r="7" spans="1:9" x14ac:dyDescent="0.25">
      <c r="A7" t="s">
        <v>121</v>
      </c>
      <c r="B7" t="str">
        <f>"Electricity/Secondary/"&amp;energyforms!A7</f>
        <v>Electricity/Secondary/GBw</v>
      </c>
      <c r="C7" t="s">
        <v>54</v>
      </c>
      <c r="D7" t="s">
        <v>98</v>
      </c>
      <c r="E7" t="str">
        <f t="shared" si="0"/>
        <v>e-F-GBw</v>
      </c>
      <c r="F7" t="s">
        <v>135</v>
      </c>
      <c r="G7" s="46" t="s">
        <v>148</v>
      </c>
      <c r="H7" s="58" t="str">
        <f t="shared" si="1"/>
        <v>GBw</v>
      </c>
      <c r="I7" s="27" t="s">
        <v>55</v>
      </c>
    </row>
    <row r="8" spans="1:9" x14ac:dyDescent="0.25">
      <c r="A8" t="s">
        <v>122</v>
      </c>
      <c r="B8" t="str">
        <f>"Electricity/Secondary/"&amp;energyforms!A8</f>
        <v>Electricity/Secondary/LIw</v>
      </c>
      <c r="C8" t="s">
        <v>54</v>
      </c>
      <c r="D8" t="s">
        <v>99</v>
      </c>
      <c r="E8" t="str">
        <f t="shared" si="0"/>
        <v>e-G-LIw</v>
      </c>
      <c r="F8" t="s">
        <v>136</v>
      </c>
      <c r="G8" s="46" t="s">
        <v>149</v>
      </c>
      <c r="H8" s="58" t="str">
        <f t="shared" si="1"/>
        <v>LIw</v>
      </c>
      <c r="I8" s="27" t="s">
        <v>56</v>
      </c>
    </row>
    <row r="9" spans="1:9" x14ac:dyDescent="0.25">
      <c r="A9" t="s">
        <v>123</v>
      </c>
      <c r="B9" t="str">
        <f>"Electricity/Secondary/"&amp;energyforms!A9</f>
        <v>Electricity/Secondary/MAw</v>
      </c>
      <c r="C9" t="s">
        <v>54</v>
      </c>
      <c r="D9" t="s">
        <v>100</v>
      </c>
      <c r="E9" t="str">
        <f t="shared" si="0"/>
        <v>e-H-MAw</v>
      </c>
      <c r="F9" t="s">
        <v>137</v>
      </c>
      <c r="G9" s="46" t="s">
        <v>110</v>
      </c>
      <c r="H9" s="58" t="str">
        <f t="shared" si="1"/>
        <v>MAw</v>
      </c>
      <c r="I9" s="27" t="s">
        <v>111</v>
      </c>
    </row>
    <row r="10" spans="1:9" x14ac:dyDescent="0.25">
      <c r="A10" t="s">
        <v>124</v>
      </c>
      <c r="B10" t="str">
        <f>"Electricity/Secondary/"&amp;energyforms!A10</f>
        <v>Electricity/Secondary/NIw</v>
      </c>
      <c r="C10" t="s">
        <v>54</v>
      </c>
      <c r="D10" t="s">
        <v>101</v>
      </c>
      <c r="E10" t="str">
        <f t="shared" si="0"/>
        <v>e-I-NIw</v>
      </c>
      <c r="F10" t="s">
        <v>138</v>
      </c>
      <c r="G10" s="46" t="s">
        <v>150</v>
      </c>
      <c r="H10" s="58" t="str">
        <f t="shared" si="1"/>
        <v>NIw</v>
      </c>
      <c r="I10" s="27" t="s">
        <v>57</v>
      </c>
    </row>
    <row r="11" spans="1:9" x14ac:dyDescent="0.25">
      <c r="A11" t="s">
        <v>125</v>
      </c>
      <c r="B11" t="str">
        <f>"Electricity/Secondary/"&amp;energyforms!A11</f>
        <v>Electricity/Secondary/NGw</v>
      </c>
      <c r="C11" t="s">
        <v>54</v>
      </c>
      <c r="D11" t="s">
        <v>102</v>
      </c>
      <c r="E11" t="str">
        <f t="shared" si="0"/>
        <v>e-J-NGw</v>
      </c>
      <c r="F11" t="s">
        <v>139</v>
      </c>
      <c r="G11" s="46" t="s">
        <v>151</v>
      </c>
      <c r="H11" s="58" t="str">
        <f t="shared" si="1"/>
        <v>NGw</v>
      </c>
      <c r="I11" s="27" t="s">
        <v>58</v>
      </c>
    </row>
    <row r="12" spans="1:9" x14ac:dyDescent="0.25">
      <c r="A12" t="s">
        <v>126</v>
      </c>
      <c r="B12" t="str">
        <f>"Electricity/Secondary/"&amp;energyforms!A12</f>
        <v>Electricity/Secondary/SEw</v>
      </c>
      <c r="C12" t="s">
        <v>54</v>
      </c>
      <c r="D12" t="s">
        <v>103</v>
      </c>
      <c r="E12" t="str">
        <f t="shared" si="0"/>
        <v>e-K-SEw</v>
      </c>
      <c r="F12" t="s">
        <v>140</v>
      </c>
      <c r="G12" s="46" t="s">
        <v>152</v>
      </c>
      <c r="H12" s="58" t="str">
        <f t="shared" si="1"/>
        <v>SEw</v>
      </c>
      <c r="I12" s="27" t="s">
        <v>59</v>
      </c>
    </row>
    <row r="13" spans="1:9" x14ac:dyDescent="0.25">
      <c r="A13" t="s">
        <v>127</v>
      </c>
      <c r="B13" t="str">
        <f>"Electricity/Secondary/"&amp;energyforms!A13</f>
        <v>Electricity/Secondary/SIw</v>
      </c>
      <c r="C13" t="s">
        <v>54</v>
      </c>
      <c r="D13" t="s">
        <v>104</v>
      </c>
      <c r="E13" t="str">
        <f t="shared" si="0"/>
        <v>e-L-SIw</v>
      </c>
      <c r="F13" t="s">
        <v>141</v>
      </c>
      <c r="G13" s="46" t="s">
        <v>153</v>
      </c>
      <c r="H13" s="58" t="str">
        <f t="shared" si="1"/>
        <v>SIw</v>
      </c>
      <c r="I13" s="27" t="s">
        <v>60</v>
      </c>
    </row>
    <row r="14" spans="1:9" x14ac:dyDescent="0.25">
      <c r="A14" t="s">
        <v>128</v>
      </c>
      <c r="B14" t="str">
        <f>"Electricity/Secondary/"&amp;energyforms!A14</f>
        <v>Electricity/Secondary/TBw</v>
      </c>
      <c r="C14" t="s">
        <v>54</v>
      </c>
      <c r="D14" t="s">
        <v>129</v>
      </c>
      <c r="E14" t="str">
        <f t="shared" si="0"/>
        <v>e-M-TBw</v>
      </c>
      <c r="F14" t="s">
        <v>142</v>
      </c>
      <c r="G14" s="49" t="s">
        <v>154</v>
      </c>
      <c r="H14" s="67" t="str">
        <f>A14</f>
        <v>TBw</v>
      </c>
      <c r="I14" s="83" t="s">
        <v>77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58"/>
  <sheetViews>
    <sheetView tabSelected="1" topLeftCell="C25" workbookViewId="0">
      <selection activeCell="G14" sqref="G14:G58"/>
    </sheetView>
  </sheetViews>
  <sheetFormatPr defaultRowHeight="15" x14ac:dyDescent="0.25"/>
  <cols>
    <col min="1" max="1" width="19.85546875" customWidth="1"/>
    <col min="2" max="2" width="31.5703125" customWidth="1"/>
    <col min="3" max="3" width="31.7109375" customWidth="1"/>
    <col min="4" max="4" width="30.7109375" customWidth="1"/>
    <col min="5" max="5" width="49.140625" customWidth="1"/>
    <col min="6" max="6" width="32.42578125" customWidth="1"/>
  </cols>
  <sheetData>
    <row r="1" spans="1:7" x14ac:dyDescent="0.25">
      <c r="B1" s="54" t="s">
        <v>105</v>
      </c>
      <c r="C1" s="54" t="s">
        <v>106</v>
      </c>
      <c r="D1" s="54" t="s">
        <v>107</v>
      </c>
      <c r="E1" s="54" t="s">
        <v>109</v>
      </c>
      <c r="F1" s="54" t="s">
        <v>108</v>
      </c>
    </row>
    <row r="2" spans="1:7" x14ac:dyDescent="0.25">
      <c r="A2" s="2" t="s">
        <v>196</v>
      </c>
      <c r="B2" t="str">
        <f>$A2&amp;"Out = "&amp;VLOOKUP(RIGHT($A2,3),energyforms!$A$2:$F$14,4,FALSE)&amp;"e"&amp;VLOOKUP($A2,MSG_Exist!$B$5:$K$22,4,FALSE)&amp;"e:out"</f>
        <v>ELEXGHwCIwOut = Beae:out</v>
      </c>
      <c r="C2" t="str">
        <f>$A2&amp;"Inp = "&amp;VLOOKUP(RIGHT($A2,3),energyforms!$A$2:$F$14,4,FALSE)&amp;"e"&amp;VLOOKUP($A2,MSG_Exist!$B$5:$K$22,4,FALSE)&amp;"e:inp"</f>
        <v>ELEXGHwCIwInp = Beae:inp</v>
      </c>
      <c r="D2" t="str">
        <f>$A2&amp;"Cap = "&amp;VLOOKUP(RIGHT($A2,3),energyforms!$A$2:$F$14,4,FALSE)&amp;"e"&amp;VLOOKUP($A2,MSG_Exist!$B$5:$K$22,4,FALSE)&amp;"e:tic"</f>
        <v>ELEXGHwCIwCap = Beae:tic</v>
      </c>
      <c r="E2" t="str">
        <f>$A2&amp;"Inv = "&amp;VLOOKUP(RIGHT($A2,3),energyforms!$A$2:$F$14,4,FALSE)&amp;"e"&amp;VLOOKUP($A2,MSG_Exist!$B$5:$K$22,4,FALSE)&amp;"e:inv*"&amp;VLOOKUP(RIGHT($A2,3),energyforms!$A$2:$F$14,4,FALSE)&amp;"e"&amp;VLOOKUP($A2,MSG_Exist!$B$5:$K$22,4,FALSE)&amp;"e:yact/1000"</f>
        <v>ELEXGHwCIwInv = Beae:inv*Beae:yact/1000</v>
      </c>
    </row>
    <row r="3" spans="1:7" x14ac:dyDescent="0.25">
      <c r="A3" s="2" t="s">
        <v>197</v>
      </c>
      <c r="B3" t="str">
        <f>$A3&amp;"Out = "&amp;VLOOKUP(RIGHT($A3,3),energyforms!$A$2:$F$14,4,FALSE)&amp;"e"&amp;VLOOKUP($A3,MSG_Exist!$B$5:$K$22,4,FALSE)&amp;"e:out"</f>
        <v>ELEXGHwTBwOut = Meae:out</v>
      </c>
      <c r="C3" t="str">
        <f>$A3&amp;"Inp = "&amp;VLOOKUP(RIGHT($A3,3),energyforms!$A$2:$F$14,4,FALSE)&amp;"e"&amp;VLOOKUP($A3,MSG_Exist!$B$5:$K$22,4,FALSE)&amp;"e:inp"</f>
        <v>ELEXGHwTBwInp = Meae:inp</v>
      </c>
      <c r="D3" t="str">
        <f>$A3&amp;"Cap = "&amp;VLOOKUP(RIGHT($A3,3),energyforms!$A$2:$F$14,4,FALSE)&amp;"e"&amp;VLOOKUP($A3,MSG_Exist!$B$5:$K$22,4,FALSE)&amp;"e:tic"</f>
        <v>ELEXGHwTBwCap = Meae:tic</v>
      </c>
      <c r="E3" t="str">
        <f>$A3&amp;"Inv = "&amp;VLOOKUP(RIGHT($A3,3),energyforms!$A$2:$F$14,4,FALSE)&amp;"e"&amp;VLOOKUP($A3,MSG_Exist!$B$5:$K$22,4,FALSE)&amp;"e:inv*"&amp;VLOOKUP(RIGHT($A3,3),energyforms!$A$2:$F$14,4,FALSE)&amp;"e"&amp;VLOOKUP($A3,MSG_Exist!$B$5:$K$22,4,FALSE)&amp;"e:yact/1000"</f>
        <v>ELEXGHwTBwInv = Meae:inv*Meae:yact/1000</v>
      </c>
    </row>
    <row r="4" spans="1:7" x14ac:dyDescent="0.25">
      <c r="A4" s="2" t="s">
        <v>198</v>
      </c>
      <c r="B4" t="str">
        <f>$A4&amp;"Out = "&amp;VLOOKUP(RIGHT($A4,3),energyforms!$A$2:$F$14,4,FALSE)&amp;"e"&amp;VLOOKUP($A4,MSG_Exist!$B$5:$K$22,4,FALSE)&amp;"e:out"</f>
        <v>ELEXSEwMAwOut = Heae:out</v>
      </c>
      <c r="C4" t="str">
        <f>$A4&amp;"Inp = "&amp;VLOOKUP(RIGHT($A4,3),energyforms!$A$2:$F$14,4,FALSE)&amp;"e"&amp;VLOOKUP($A4,MSG_Exist!$B$5:$K$22,4,FALSE)&amp;"e:inp"</f>
        <v>ELEXSEwMAwInp = Heae:inp</v>
      </c>
      <c r="D4" t="str">
        <f>$A4&amp;"Cap = "&amp;VLOOKUP(RIGHT($A4,3),energyforms!$A$2:$F$14,4,FALSE)&amp;"e"&amp;VLOOKUP($A4,MSG_Exist!$B$5:$K$22,4,FALSE)&amp;"e:tic"</f>
        <v>ELEXSEwMAwCap = Heae:tic</v>
      </c>
      <c r="E4" t="str">
        <f>$A4&amp;"Inv = "&amp;VLOOKUP(RIGHT($A4,3),energyforms!$A$2:$F$14,4,FALSE)&amp;"e"&amp;VLOOKUP($A4,MSG_Exist!$B$5:$K$22,4,FALSE)&amp;"e:inv*"&amp;VLOOKUP(RIGHT($A4,3),energyforms!$A$2:$F$14,4,FALSE)&amp;"e"&amp;VLOOKUP($A4,MSG_Exist!$B$5:$K$22,4,FALSE)&amp;"e:yact/1000"</f>
        <v>ELEXSEwMAwInv = Heae:inv*Heae:yact/1000</v>
      </c>
    </row>
    <row r="5" spans="1:7" x14ac:dyDescent="0.25">
      <c r="A5" s="2" t="s">
        <v>199</v>
      </c>
      <c r="B5" t="str">
        <f>$A5&amp;"Out = "&amp;VLOOKUP(RIGHT($A5,3),energyforms!$A$2:$F$14,4,FALSE)&amp;"e"&amp;VLOOKUP($A5,MSG_Exist!$B$5:$K$22,4,FALSE)&amp;"e:out"</f>
        <v>ELEXCIwBUwOut = Aeae:out</v>
      </c>
      <c r="C5" t="str">
        <f>$A5&amp;"Inp = "&amp;VLOOKUP(RIGHT($A5,3),energyforms!$A$2:$F$14,4,FALSE)&amp;"e"&amp;VLOOKUP($A5,MSG_Exist!$B$5:$K$22,4,FALSE)&amp;"e:inp"</f>
        <v>ELEXCIwBUwInp = Aeae:inp</v>
      </c>
      <c r="D5" t="str">
        <f>$A5&amp;"Cap = "&amp;VLOOKUP(RIGHT($A5,3),energyforms!$A$2:$F$14,4,FALSE)&amp;"e"&amp;VLOOKUP($A5,MSG_Exist!$B$5:$K$22,4,FALSE)&amp;"e:tic"</f>
        <v>ELEXCIwBUwCap = Aeae:tic</v>
      </c>
      <c r="E5" t="str">
        <f>$A5&amp;"Inv = "&amp;VLOOKUP(RIGHT($A5,3),energyforms!$A$2:$F$14,4,FALSE)&amp;"e"&amp;VLOOKUP($A5,MSG_Exist!$B$5:$K$22,4,FALSE)&amp;"e:inv*"&amp;VLOOKUP(RIGHT($A5,3),energyforms!$A$2:$F$14,4,FALSE)&amp;"e"&amp;VLOOKUP($A5,MSG_Exist!$B$5:$K$22,4,FALSE)&amp;"e:yact/1000"</f>
        <v>ELEXCIwBUwInv = Aeae:inv*Aeae:yact/1000</v>
      </c>
    </row>
    <row r="6" spans="1:7" x14ac:dyDescent="0.25">
      <c r="A6" s="2" t="s">
        <v>200</v>
      </c>
      <c r="B6" t="str">
        <f>$A6&amp;"Out = "&amp;VLOOKUP(RIGHT($A6,3),energyforms!$A$2:$F$14,4,FALSE)&amp;"e"&amp;VLOOKUP($A6,MSG_Exist!$B$5:$K$22,4,FALSE)&amp;"e:out"</f>
        <v>ELEXNGwTBwOut = Mebe:out</v>
      </c>
      <c r="C6" t="str">
        <f>$A6&amp;"Inp = "&amp;VLOOKUP(RIGHT($A6,3),energyforms!$A$2:$F$14,4,FALSE)&amp;"e"&amp;VLOOKUP($A6,MSG_Exist!$B$5:$K$22,4,FALSE)&amp;"e:inp"</f>
        <v>ELEXNGwTBwInp = Mebe:inp</v>
      </c>
      <c r="D6" t="str">
        <f>$A6&amp;"Cap = "&amp;VLOOKUP(RIGHT($A6,3),energyforms!$A$2:$F$14,4,FALSE)&amp;"e"&amp;VLOOKUP($A6,MSG_Exist!$B$5:$K$22,4,FALSE)&amp;"e:tic"</f>
        <v>ELEXNGwTBwCap = Mebe:tic</v>
      </c>
      <c r="E6" t="str">
        <f>$A6&amp;"Inv = "&amp;VLOOKUP(RIGHT($A6,3),energyforms!$A$2:$F$14,4,FALSE)&amp;"e"&amp;VLOOKUP($A6,MSG_Exist!$B$5:$K$22,4,FALSE)&amp;"e:inv*"&amp;VLOOKUP(RIGHT($A6,3),energyforms!$A$2:$F$14,4,FALSE)&amp;"e"&amp;VLOOKUP($A6,MSG_Exist!$B$5:$K$22,4,FALSE)&amp;"e:yact/1000"</f>
        <v>ELEXNGwTBwInv = Mebe:inv*Mebe:yact/1000</v>
      </c>
    </row>
    <row r="7" spans="1:7" s="48" customFormat="1" x14ac:dyDescent="0.25">
      <c r="A7" s="48" t="s">
        <v>201</v>
      </c>
      <c r="B7" s="48" t="str">
        <f>$A7&amp;"Out = "&amp;VLOOKUP(RIGHT($A7,3),energyforms!$A$2:$F$14,4,FALSE)&amp;"e"&amp;VLOOKUP($A7,MSG_Exist!$B$5:$K$22,4,FALSE)&amp;"e:out"</f>
        <v>ELEXNGwNIwOut = Ieae:out</v>
      </c>
      <c r="C7" s="48" t="str">
        <f>$A7&amp;"Inp = "&amp;VLOOKUP(RIGHT($A7,3),energyforms!$A$2:$F$14,4,FALSE)&amp;"e"&amp;VLOOKUP($A7,MSG_Exist!$B$5:$K$22,4,FALSE)&amp;"e:inp"</f>
        <v>ELEXNGwNIwInp = Ieae:inp</v>
      </c>
      <c r="D7" s="48" t="str">
        <f>$A7&amp;"Cap = "&amp;VLOOKUP(RIGHT($A7,3),energyforms!$A$2:$F$14,4,FALSE)&amp;"e"&amp;VLOOKUP($A7,MSG_Exist!$B$5:$K$22,4,FALSE)&amp;"e:tic"</f>
        <v>ELEXNGwNIwCap = Ieae:tic</v>
      </c>
      <c r="E7" s="48" t="str">
        <f>$A7&amp;"Inv = "&amp;VLOOKUP(RIGHT($A7,3),energyforms!$A$2:$F$14,4,FALSE)&amp;"e"&amp;VLOOKUP($A7,MSG_Exist!$B$5:$K$22,4,FALSE)&amp;"e:inv*"&amp;VLOOKUP(RIGHT($A7,3),energyforms!$A$2:$F$14,4,FALSE)&amp;"e"&amp;VLOOKUP($A7,MSG_Exist!$B$5:$K$22,4,FALSE)&amp;"e:yact/1000"</f>
        <v>ELEXNGwNIwInv = Ieae:inv*Ieae:yact/1000</v>
      </c>
    </row>
    <row r="8" spans="1:7" x14ac:dyDescent="0.25">
      <c r="A8" s="2" t="s">
        <v>202</v>
      </c>
      <c r="B8" t="str">
        <f>$A8&amp;"Out = "&amp;VLOOKUP(RIGHT($A8,3),energyforms!$A$2:$F$14,4,FALSE)&amp;"e"&amp;VLOOKUP($A8,MSG_Exist!$B$5:$K$22,4,FALSE)&amp;"e:out"</f>
        <v>ELEXCIwGHwOut = Deae:out</v>
      </c>
      <c r="C8" t="str">
        <f>$A8&amp;"Inp = "&amp;VLOOKUP(RIGHT($A8,3),energyforms!$A$2:$F$14,4,FALSE)&amp;"e"&amp;VLOOKUP($A8,MSG_Exist!$B$5:$K$22,4,FALSE)&amp;"e:inp"</f>
        <v>ELEXCIwGHwInp = Deae:inp</v>
      </c>
      <c r="D8" t="str">
        <f>$A8&amp;"Cap = "&amp;VLOOKUP(RIGHT($A8,3),energyforms!$A$2:$F$14,4,FALSE)&amp;"e"&amp;VLOOKUP($A8,MSG_Exist!$B$5:$K$22,4,FALSE)&amp;"e:tic"</f>
        <v>ELEXCIwGHwCap = Deae:tic</v>
      </c>
      <c r="E8" t="str">
        <f>$A8&amp;"Inv = "&amp;VLOOKUP(RIGHT($A8,3),energyforms!$A$2:$F$14,4,FALSE)&amp;"e"&amp;VLOOKUP($A8,MSG_Exist!$B$5:$K$22,4,FALSE)&amp;"e:inv*"&amp;VLOOKUP(RIGHT($A8,3),energyforms!$A$2:$F$14,4,FALSE)&amp;"e"&amp;VLOOKUP($A8,MSG_Exist!$B$5:$K$22,4,FALSE)&amp;"e:yact/1000"</f>
        <v>ELEXCIwGHwInv = Deae:inv*Deae:yact/1000</v>
      </c>
    </row>
    <row r="9" spans="1:7" x14ac:dyDescent="0.25">
      <c r="A9" s="2" t="s">
        <v>203</v>
      </c>
      <c r="B9" t="str">
        <f>$A9&amp;"Out = "&amp;VLOOKUP(RIGHT($A9,3),energyforms!$A$2:$F$14,4,FALSE)&amp;"e"&amp;VLOOKUP($A9,MSG_Exist!$B$5:$K$22,4,FALSE)&amp;"e:out"</f>
        <v>ELEXTBwGHwOut = Debe:out</v>
      </c>
      <c r="C9" t="str">
        <f>$A9&amp;"Inp = "&amp;VLOOKUP(RIGHT($A9,3),energyforms!$A$2:$F$14,4,FALSE)&amp;"e"&amp;VLOOKUP($A9,MSG_Exist!$B$5:$K$22,4,FALSE)&amp;"e:inp"</f>
        <v>ELEXTBwGHwInp = Debe:inp</v>
      </c>
      <c r="D9" t="str">
        <f>$A9&amp;"Cap = "&amp;VLOOKUP(RIGHT($A9,3),energyforms!$A$2:$F$14,4,FALSE)&amp;"e"&amp;VLOOKUP($A9,MSG_Exist!$B$5:$K$22,4,FALSE)&amp;"e:tic"</f>
        <v>ELEXTBwGHwCap = Debe:tic</v>
      </c>
      <c r="E9" t="str">
        <f>$A9&amp;"Inv = "&amp;VLOOKUP(RIGHT($A9,3),energyforms!$A$2:$F$14,4,FALSE)&amp;"e"&amp;VLOOKUP($A9,MSG_Exist!$B$5:$K$22,4,FALSE)&amp;"e:inv*"&amp;VLOOKUP(RIGHT($A9,3),energyforms!$A$2:$F$14,4,FALSE)&amp;"e"&amp;VLOOKUP($A9,MSG_Exist!$B$5:$K$22,4,FALSE)&amp;"e:yact/1000"</f>
        <v>ELEXTBwGHwInv = Debe:inv*Debe:yact/1000</v>
      </c>
    </row>
    <row r="10" spans="1:7" x14ac:dyDescent="0.25">
      <c r="A10" s="2" t="s">
        <v>204</v>
      </c>
      <c r="B10" t="str">
        <f>$A10&amp;"Out = "&amp;VLOOKUP(RIGHT($A10,3),energyforms!$A$2:$F$14,4,FALSE)&amp;"e"&amp;VLOOKUP($A10,MSG_Exist!$B$5:$K$22,4,FALSE)&amp;"e:out"</f>
        <v>ELEXMAwSEwOut = Keae:out</v>
      </c>
      <c r="C10" t="str">
        <f>$A10&amp;"Inp = "&amp;VLOOKUP(RIGHT($A10,3),energyforms!$A$2:$F$14,4,FALSE)&amp;"e"&amp;VLOOKUP($A10,MSG_Exist!$B$5:$K$22,4,FALSE)&amp;"e:inp"</f>
        <v>ELEXMAwSEwInp = Keae:inp</v>
      </c>
      <c r="D10" t="str">
        <f>$A10&amp;"Cap = "&amp;VLOOKUP(RIGHT($A10,3),energyforms!$A$2:$F$14,4,FALSE)&amp;"e"&amp;VLOOKUP($A10,MSG_Exist!$B$5:$K$22,4,FALSE)&amp;"e:tic"</f>
        <v>ELEXMAwSEwCap = Keae:tic</v>
      </c>
      <c r="E10" t="str">
        <f>$A10&amp;"Inv = "&amp;VLOOKUP(RIGHT($A10,3),energyforms!$A$2:$F$14,4,FALSE)&amp;"e"&amp;VLOOKUP($A10,MSG_Exist!$B$5:$K$22,4,FALSE)&amp;"e:inv*"&amp;VLOOKUP(RIGHT($A10,3),energyforms!$A$2:$F$14,4,FALSE)&amp;"e"&amp;VLOOKUP($A10,MSG_Exist!$B$5:$K$22,4,FALSE)&amp;"e:yact/1000"</f>
        <v>ELEXMAwSEwInv = Keae:inv*Keae:yact/1000</v>
      </c>
    </row>
    <row r="11" spans="1:7" x14ac:dyDescent="0.25">
      <c r="A11" s="2" t="s">
        <v>205</v>
      </c>
      <c r="B11" t="str">
        <f>$A11&amp;"Out = "&amp;VLOOKUP(RIGHT($A11,3),energyforms!$A$2:$F$14,4,FALSE)&amp;"e"&amp;VLOOKUP($A11,MSG_Exist!$B$5:$K$22,4,FALSE)&amp;"e:out"</f>
        <v>ELEXBUwCIwOut = Bebe:out</v>
      </c>
      <c r="C11" t="str">
        <f>$A11&amp;"Inp = "&amp;VLOOKUP(RIGHT($A11,3),energyforms!$A$2:$F$14,4,FALSE)&amp;"e"&amp;VLOOKUP($A11,MSG_Exist!$B$5:$K$22,4,FALSE)&amp;"e:inp"</f>
        <v>ELEXBUwCIwInp = Bebe:inp</v>
      </c>
      <c r="D11" t="str">
        <f>$A11&amp;"Cap = "&amp;VLOOKUP(RIGHT($A11,3),energyforms!$A$2:$F$14,4,FALSE)&amp;"e"&amp;VLOOKUP($A11,MSG_Exist!$B$5:$K$22,4,FALSE)&amp;"e:tic"</f>
        <v>ELEXBUwCIwCap = Bebe:tic</v>
      </c>
      <c r="E11" t="str">
        <f>$A11&amp;"Inv = "&amp;VLOOKUP(RIGHT($A11,3),energyforms!$A$2:$F$14,4,FALSE)&amp;"e"&amp;VLOOKUP($A11,MSG_Exist!$B$5:$K$22,4,FALSE)&amp;"e:inv*"&amp;VLOOKUP(RIGHT($A11,3),energyforms!$A$2:$F$14,4,FALSE)&amp;"e"&amp;VLOOKUP($A11,MSG_Exist!$B$5:$K$22,4,FALSE)&amp;"e:yact/1000"</f>
        <v>ELEXBUwCIwInv = Bebe:inv*Bebe:yact/1000</v>
      </c>
    </row>
    <row r="12" spans="1:7" x14ac:dyDescent="0.25">
      <c r="A12" s="2" t="s">
        <v>206</v>
      </c>
      <c r="B12" t="str">
        <f>$A12&amp;"Out = "&amp;VLOOKUP(RIGHT($A12,3),energyforms!$A$2:$F$14,4,FALSE)&amp;"e"&amp;VLOOKUP($A12,MSG_Exist!$B$5:$K$22,4,FALSE)&amp;"e:out"</f>
        <v>ELEXTBwNGwOut = Jeae:out</v>
      </c>
      <c r="C12" t="str">
        <f>$A12&amp;"Inp = "&amp;VLOOKUP(RIGHT($A12,3),energyforms!$A$2:$F$14,4,FALSE)&amp;"e"&amp;VLOOKUP($A12,MSG_Exist!$B$5:$K$22,4,FALSE)&amp;"e:inp"</f>
        <v>ELEXTBwNGwInp = Jeae:inp</v>
      </c>
      <c r="D12" t="str">
        <f>$A12&amp;"Cap = "&amp;VLOOKUP(RIGHT($A12,3),energyforms!$A$2:$F$14,4,FALSE)&amp;"e"&amp;VLOOKUP($A12,MSG_Exist!$B$5:$K$22,4,FALSE)&amp;"e:tic"</f>
        <v>ELEXTBwNGwCap = Jeae:tic</v>
      </c>
      <c r="E12" t="str">
        <f>$A12&amp;"Inv = "&amp;VLOOKUP(RIGHT($A12,3),energyforms!$A$2:$F$14,4,FALSE)&amp;"e"&amp;VLOOKUP($A12,MSG_Exist!$B$5:$K$22,4,FALSE)&amp;"e:inv*"&amp;VLOOKUP(RIGHT($A12,3),energyforms!$A$2:$F$14,4,FALSE)&amp;"e"&amp;VLOOKUP($A12,MSG_Exist!$B$5:$K$22,4,FALSE)&amp;"e:yact/1000"</f>
        <v>ELEXTBwNGwInv = Jeae:inv*Jeae:yact/1000</v>
      </c>
    </row>
    <row r="13" spans="1:7" s="108" customFormat="1" ht="15.75" thickBot="1" x14ac:dyDescent="0.3">
      <c r="A13" s="108" t="s">
        <v>207</v>
      </c>
      <c r="B13" s="108" t="str">
        <f>$A13&amp;"Out = "&amp;VLOOKUP(RIGHT($A13,3),energyforms!$A$2:$F$14,4,FALSE)&amp;"e"&amp;VLOOKUP($A13,MSG_Exist!$B$5:$K$22,4,FALSE)&amp;"e:out"</f>
        <v>ELEXNIwNGwOut = Jebe:out</v>
      </c>
      <c r="C13" s="108" t="str">
        <f>$A13&amp;"Inp = "&amp;VLOOKUP(RIGHT($A13,3),energyforms!$A$2:$F$14,4,FALSE)&amp;"e"&amp;VLOOKUP($A13,MSG_Exist!$B$5:$K$22,4,FALSE)&amp;"e:inp"</f>
        <v>ELEXNIwNGwInp = Jebe:inp</v>
      </c>
      <c r="D13" s="108" t="str">
        <f>$A13&amp;"Cap = "&amp;VLOOKUP(RIGHT($A13,3),energyforms!$A$2:$F$14,4,FALSE)&amp;"e"&amp;VLOOKUP($A13,MSG_Exist!$B$5:$K$22,4,FALSE)&amp;"e:tic"</f>
        <v>ELEXNIwNGwCap = Jebe:tic</v>
      </c>
      <c r="E13" s="108" t="str">
        <f>$A13&amp;"Inv = "&amp;VLOOKUP(RIGHT($A13,3),energyforms!$A$2:$F$14,4,FALSE)&amp;"e"&amp;VLOOKUP($A13,MSG_Exist!$B$5:$K$22,4,FALSE)&amp;"e:inv*"&amp;VLOOKUP(RIGHT($A13,3),energyforms!$A$2:$F$14,4,FALSE)&amp;"e"&amp;VLOOKUP($A13,MSG_Exist!$B$5:$K$22,4,FALSE)&amp;"e:yact/1000"</f>
        <v>ELEXNIwNGwInv = Jebe:inv*Jebe:yact/1000</v>
      </c>
    </row>
    <row r="14" spans="1:7" x14ac:dyDescent="0.25">
      <c r="A14" s="2" t="s">
        <v>208</v>
      </c>
      <c r="B14" t="str">
        <f>$A14&amp;"Out = "&amp;VLOOKUP(RIGHT($A14,3),energyforms!$A$2:$F$14,4,FALSE)&amp;"e"&amp;VLOOKUP($A14,MSG_New!$B$6:$E$106,4,FALSE)&amp;"e:out"</f>
        <v>ELNCDorGHwTBwOut = Meie:out</v>
      </c>
      <c r="C14" t="str">
        <f>$A14&amp;"Inp = "&amp;VLOOKUP(RIGHT($A14,3),energyforms!$A$2:$F$14,4,FALSE)&amp;"e"&amp;VLOOKUP($A14,MSG_New!$B$6:$E$106,4,FALSE)&amp;"e:inp"</f>
        <v>ELNCDorGHwTBwInp = Meie:inp</v>
      </c>
      <c r="D14" t="str">
        <f>$A14&amp;"Cap = "&amp;VLOOKUP(RIGHT($A14,3),energyforms!$A$2:$F$14,4,FALSE)&amp;"e"&amp;VLOOKUP($A14,MSG_New!$B$6:$E$106,4,FALSE)&amp;"e:tic"</f>
        <v>ELNCDorGHwTBwCap = Meie:tic</v>
      </c>
      <c r="E14" t="str">
        <f>$A14&amp;"Inv = "&amp;VLOOKUP(RIGHT($A14,3),energyforms!$A$2:$F$14,4,FALSE)&amp;"e"&amp;VLOOKUP($A14,MSG_New!$B$6:$E$106,4,FALSE)&amp;"e:inv*"&amp;VLOOKUP(RIGHT($A14,3),energyforms!$A$2:$F$14,4,FALSE)&amp;"e"&amp;VLOOKUP($A14,MSG_New!$B$6:$E$106,4,FALSE)&amp;"e:yact/1000"</f>
        <v>ELNCDorGHwTBwInv = Meie:inv*Meie:yact/1000</v>
      </c>
      <c r="F14" t="str">
        <f>$A14&amp;"NCp = "&amp;VLOOKUP(RIGHT($A14,3),energyforms!$A$2:$F$14,4,FALSE)&amp;"e"&amp;VLOOKUP($A14,MSG_New!$B$6:$E$106,4,FALSE)&amp;"e:yact"</f>
        <v>ELNCDorGHwTBwNCp = Meie:yact</v>
      </c>
      <c r="G14" t="str">
        <f>F14</f>
        <v>ELNCDorGHwTBwNCp = Meie:yact</v>
      </c>
    </row>
    <row r="15" spans="1:7" x14ac:dyDescent="0.25">
      <c r="A15" s="2" t="s">
        <v>209</v>
      </c>
      <c r="B15" t="str">
        <f>$A15&amp;"Out = "&amp;VLOOKUP(RIGHT($A15,3),energyforms!$A$2:$F$14,4,FALSE)&amp;"e"&amp;VLOOKUP($A15,MSG_New!$B$6:$E$106,4,FALSE)&amp;"e:out"</f>
        <v>ELNCDorCIwGHwOut = Deie:out</v>
      </c>
      <c r="C15" t="str">
        <f>$A15&amp;"Inp = "&amp;VLOOKUP(RIGHT($A15,3),energyforms!$A$2:$F$14,4,FALSE)&amp;"e"&amp;VLOOKUP($A15,MSG_New!$B$6:$E$106,4,FALSE)&amp;"e:inp"</f>
        <v>ELNCDorCIwGHwInp = Deie:inp</v>
      </c>
      <c r="D15" t="str">
        <f>$A15&amp;"Cap = "&amp;VLOOKUP(RIGHT($A15,3),energyforms!$A$2:$F$14,4,FALSE)&amp;"e"&amp;VLOOKUP($A15,MSG_New!$B$6:$E$106,4,FALSE)&amp;"e:tic"</f>
        <v>ELNCDorCIwGHwCap = Deie:tic</v>
      </c>
      <c r="E15" t="str">
        <f>$A15&amp;"Inv = "&amp;VLOOKUP(RIGHT($A15,3),energyforms!$A$2:$F$14,4,FALSE)&amp;"e"&amp;VLOOKUP($A15,MSG_New!$B$6:$E$106,4,FALSE)&amp;"e:inv*"&amp;VLOOKUP(RIGHT($A15,3),energyforms!$A$2:$F$14,4,FALSE)&amp;"e"&amp;VLOOKUP($A15,MSG_New!$B$6:$E$106,4,FALSE)&amp;"e:yact/1000"</f>
        <v>ELNCDorCIwGHwInv = Deie:inv*Deie:yact/1000</v>
      </c>
      <c r="F15" t="str">
        <f>$A15&amp;"NCp = "&amp;VLOOKUP(RIGHT($A15,3),energyforms!$A$2:$F$14,4,FALSE)&amp;"e"&amp;VLOOKUP($A15,MSG_New!$B$6:$E$106,4,FALSE)&amp;"e:yact"</f>
        <v>ELNCDorCIwGHwNCp = Deie:yact</v>
      </c>
      <c r="G15" t="str">
        <f>F15</f>
        <v>ELNCDorCIwGHwNCp = Deie:yact</v>
      </c>
    </row>
    <row r="16" spans="1:7" x14ac:dyDescent="0.25">
      <c r="A16" s="43" t="s">
        <v>210</v>
      </c>
      <c r="B16" t="str">
        <f>$A16&amp;"Out = "&amp;VLOOKUP(RIGHT($A16,3),energyforms!$A$2:$F$14,4,FALSE)&amp;"e"&amp;VLOOKUP($A16,MSG_New!$B$6:$E$106,4,FALSE)&amp;"e:out"</f>
        <v>ELNCDorTBwGHwOut = Deje:out</v>
      </c>
      <c r="C16" t="str">
        <f>$A16&amp;"Inp = "&amp;VLOOKUP(RIGHT($A16,3),energyforms!$A$2:$F$14,4,FALSE)&amp;"e"&amp;VLOOKUP($A16,MSG_New!$B$6:$E$106,4,FALSE)&amp;"e:inp"</f>
        <v>ELNCDorTBwGHwInp = Deje:inp</v>
      </c>
      <c r="D16" t="str">
        <f>$A16&amp;"Cap = "&amp;VLOOKUP(RIGHT($A16,3),energyforms!$A$2:$F$14,4,FALSE)&amp;"e"&amp;VLOOKUP($A16,MSG_New!$B$6:$E$106,4,FALSE)&amp;"e:tic"</f>
        <v>ELNCDorTBwGHwCap = Deje:tic</v>
      </c>
      <c r="E16" t="str">
        <f>$A16&amp;"Inv = "&amp;VLOOKUP(RIGHT($A16,3),energyforms!$A$2:$F$14,4,FALSE)&amp;"e"&amp;VLOOKUP($A16,MSG_New!$B$6:$E$106,4,FALSE)&amp;"e:inv*"&amp;VLOOKUP(RIGHT($A16,3),energyforms!$A$2:$F$14,4,FALSE)&amp;"e"&amp;VLOOKUP($A16,MSG_New!$B$6:$E$106,4,FALSE)&amp;"e:yact/1000"</f>
        <v>ELNCDorTBwGHwInv = Deje:inv*Deje:yact/1000</v>
      </c>
      <c r="F16" t="str">
        <f>$A16&amp;"NCp = "&amp;VLOOKUP(RIGHT($A16,3),energyforms!$A$2:$F$14,4,FALSE)&amp;"e"&amp;VLOOKUP($A16,MSG_New!$B$6:$E$106,4,FALSE)&amp;"e:yact"</f>
        <v>ELNCDorTBwGHwNCp = Deje:yact</v>
      </c>
    </row>
    <row r="17" spans="1:7" s="48" customFormat="1" x14ac:dyDescent="0.25">
      <c r="A17" s="36" t="s">
        <v>211</v>
      </c>
      <c r="B17" s="48" t="str">
        <f>$A17&amp;"Out = "&amp;VLOOKUP(RIGHT($A17,3),energyforms!$A$2:$F$14,4,FALSE)&amp;"e"&amp;VLOOKUP($A17,MSG_New!$B$6:$E$106,4,FALSE)&amp;"e:out"</f>
        <v>ELNCDorGHwCIwOut = Beie:out</v>
      </c>
      <c r="C17" s="48" t="str">
        <f>$A17&amp;"Inp = "&amp;VLOOKUP(RIGHT($A17,3),energyforms!$A$2:$F$14,4,FALSE)&amp;"e"&amp;VLOOKUP($A17,MSG_New!$B$6:$E$106,4,FALSE)&amp;"e:inp"</f>
        <v>ELNCDorGHwCIwInp = Beie:inp</v>
      </c>
      <c r="D17" s="48" t="str">
        <f>$A17&amp;"Cap = "&amp;VLOOKUP(RIGHT($A17,3),energyforms!$A$2:$F$14,4,FALSE)&amp;"e"&amp;VLOOKUP($A17,MSG_New!$B$6:$E$106,4,FALSE)&amp;"e:tic"</f>
        <v>ELNCDorGHwCIwCap = Beie:tic</v>
      </c>
      <c r="E17" s="48" t="str">
        <f>$A17&amp;"Inv = "&amp;VLOOKUP(RIGHT($A17,3),energyforms!$A$2:$F$14,4,FALSE)&amp;"e"&amp;VLOOKUP($A17,MSG_New!$B$6:$E$106,4,FALSE)&amp;"e:inv*"&amp;VLOOKUP(RIGHT($A17,3),energyforms!$A$2:$F$14,4,FALSE)&amp;"e"&amp;VLOOKUP($A17,MSG_New!$B$6:$E$106,4,FALSE)&amp;"e:yact/1000"</f>
        <v>ELNCDorGHwCIwInv = Beie:inv*Beie:yact/1000</v>
      </c>
      <c r="F17" s="48" t="str">
        <f>$A17&amp;"NCp = "&amp;VLOOKUP(RIGHT($A17,3),energyforms!$A$2:$F$14,4,FALSE)&amp;"e"&amp;VLOOKUP($A17,MSG_New!$B$6:$E$106,4,FALSE)&amp;"e:yact"</f>
        <v>ELNCDorGHwCIwNCp = Beie:yact</v>
      </c>
    </row>
    <row r="18" spans="1:7" x14ac:dyDescent="0.25">
      <c r="A18" t="s">
        <v>234</v>
      </c>
      <c r="B18" t="str">
        <f>$A18&amp;"Out = "&amp;VLOOKUP(RIGHT($A18,3),energyforms!$A$2:$F$14,4,FALSE)&amp;"e"&amp;VLOOKUP($A18,MSG_New!$B$6:$E$106,4,FALSE)&amp;"e:out"</f>
        <v>ELNCCLSGCIwLIwOut = Geie:out</v>
      </c>
      <c r="C18" t="str">
        <f>$A18&amp;"Inp = "&amp;VLOOKUP(RIGHT($A18,3),energyforms!$A$2:$F$14,4,FALSE)&amp;"e"&amp;VLOOKUP($A18,MSG_New!$B$6:$E$106,4,FALSE)&amp;"e:inp"</f>
        <v>ELNCCLSGCIwLIwInp = Geie:inp</v>
      </c>
      <c r="D18" t="str">
        <f>$A18&amp;"Cap = "&amp;VLOOKUP(RIGHT($A18,3),energyforms!$A$2:$F$14,4,FALSE)&amp;"e"&amp;VLOOKUP($A18,MSG_New!$B$6:$E$106,4,FALSE)&amp;"e:tic"</f>
        <v>ELNCCLSGCIwLIwCap = Geie:tic</v>
      </c>
      <c r="E18" t="str">
        <f>$A18&amp;"Inv = "&amp;VLOOKUP(RIGHT($A18,3),energyforms!$A$2:$F$14,4,FALSE)&amp;"e"&amp;VLOOKUP($A18,MSG_New!$B$6:$E$106,4,FALSE)&amp;"e:inv*"&amp;VLOOKUP(RIGHT($A18,3),energyforms!$A$2:$F$14,4,FALSE)&amp;"e"&amp;VLOOKUP($A18,MSG_New!$B$6:$E$106,4,FALSE)&amp;"e:yact/1000"</f>
        <v>ELNCCLSGCIwLIwInv = Geie:inv*Geie:yact/1000</v>
      </c>
      <c r="F18" t="str">
        <f>$A18&amp;"NCp = "&amp;VLOOKUP(RIGHT($A18,3),energyforms!$A$2:$F$14,4,FALSE)&amp;"e"&amp;VLOOKUP($A18,MSG_New!$B$6:$E$106,4,FALSE)&amp;"e:yact"</f>
        <v>ELNCCLSGCIwLIwNCp = Geie:yact</v>
      </c>
      <c r="G18" t="str">
        <f>F18</f>
        <v>ELNCCLSGCIwLIwNCp = Geie:yact</v>
      </c>
    </row>
    <row r="19" spans="1:7" x14ac:dyDescent="0.25">
      <c r="A19" t="s">
        <v>235</v>
      </c>
      <c r="B19" t="str">
        <f>$A19&amp;"Out = "&amp;VLOOKUP(RIGHT($A19,3),energyforms!$A$2:$F$14,4,FALSE)&amp;"e"&amp;VLOOKUP($A19,MSG_New!$B$6:$E$106,4,FALSE)&amp;"e:out"</f>
        <v>ELNCCLSGLIwGUwOut = Eeie:out</v>
      </c>
      <c r="C19" t="str">
        <f>$A19&amp;"Inp = "&amp;VLOOKUP(RIGHT($A19,3),energyforms!$A$2:$F$14,4,FALSE)&amp;"e"&amp;VLOOKUP($A19,MSG_New!$B$6:$E$106,4,FALSE)&amp;"e:inp"</f>
        <v>ELNCCLSGLIwGUwInp = Eeie:inp</v>
      </c>
      <c r="D19" t="str">
        <f>$A19&amp;"Cap = "&amp;VLOOKUP(RIGHT($A19,3),energyforms!$A$2:$F$14,4,FALSE)&amp;"e"&amp;VLOOKUP($A19,MSG_New!$B$6:$E$106,4,FALSE)&amp;"e:tic"</f>
        <v>ELNCCLSGLIwGUwCap = Eeie:tic</v>
      </c>
      <c r="E19" t="str">
        <f>$A19&amp;"Inv = "&amp;VLOOKUP(RIGHT($A19,3),energyforms!$A$2:$F$14,4,FALSE)&amp;"e"&amp;VLOOKUP($A19,MSG_New!$B$6:$E$106,4,FALSE)&amp;"e:inv*"&amp;VLOOKUP(RIGHT($A19,3),energyforms!$A$2:$F$14,4,FALSE)&amp;"e"&amp;VLOOKUP($A19,MSG_New!$B$6:$E$106,4,FALSE)&amp;"e:yact/1000"</f>
        <v>ELNCCLSGLIwGUwInv = Eeie:inv*Eeie:yact/1000</v>
      </c>
      <c r="F19" t="str">
        <f>$A19&amp;"NCp = "&amp;VLOOKUP(RIGHT($A19,3),energyforms!$A$2:$F$14,4,FALSE)&amp;"e"&amp;VLOOKUP($A19,MSG_New!$B$6:$E$106,4,FALSE)&amp;"e:yact"</f>
        <v>ELNCCLSGLIwGUwNCp = Eeie:yact</v>
      </c>
      <c r="G19" t="str">
        <f t="shared" ref="G19:G21" si="0">F19</f>
        <v>ELNCCLSGLIwGUwNCp = Eeie:yact</v>
      </c>
    </row>
    <row r="20" spans="1:7" x14ac:dyDescent="0.25">
      <c r="A20" t="s">
        <v>236</v>
      </c>
      <c r="B20" t="str">
        <f>$A20&amp;"Out = "&amp;VLOOKUP(RIGHT($A20,3),energyforms!$A$2:$F$14,4,FALSE)&amp;"e"&amp;VLOOKUP($A20,MSG_New!$B$6:$E$106,4,FALSE)&amp;"e:out"</f>
        <v>ELNCCLSGLIwSIwOut = Leie:out</v>
      </c>
      <c r="C20" t="str">
        <f>$A20&amp;"Inp = "&amp;VLOOKUP(RIGHT($A20,3),energyforms!$A$2:$F$14,4,FALSE)&amp;"e"&amp;VLOOKUP($A20,MSG_New!$B$6:$E$106,4,FALSE)&amp;"e:inp"</f>
        <v>ELNCCLSGLIwSIwInp = Leie:inp</v>
      </c>
      <c r="D20" t="str">
        <f>$A20&amp;"Cap = "&amp;VLOOKUP(RIGHT($A20,3),energyforms!$A$2:$F$14,4,FALSE)&amp;"e"&amp;VLOOKUP($A20,MSG_New!$B$6:$E$106,4,FALSE)&amp;"e:tic"</f>
        <v>ELNCCLSGLIwSIwCap = Leie:tic</v>
      </c>
      <c r="E20" t="str">
        <f>$A20&amp;"Inv = "&amp;VLOOKUP(RIGHT($A20,3),energyforms!$A$2:$F$14,4,FALSE)&amp;"e"&amp;VLOOKUP($A20,MSG_New!$B$6:$E$106,4,FALSE)&amp;"e:inv*"&amp;VLOOKUP(RIGHT($A20,3),energyforms!$A$2:$F$14,4,FALSE)&amp;"e"&amp;VLOOKUP($A20,MSG_New!$B$6:$E$106,4,FALSE)&amp;"e:yact/1000"</f>
        <v>ELNCCLSGLIwSIwInv = Leie:inv*Leie:yact/1000</v>
      </c>
      <c r="F20" t="str">
        <f>$A20&amp;"NCp = "&amp;VLOOKUP(RIGHT($A20,3),energyforms!$A$2:$F$14,4,FALSE)&amp;"e"&amp;VLOOKUP($A20,MSG_New!$B$6:$E$106,4,FALSE)&amp;"e:yact"</f>
        <v>ELNCCLSGLIwSIwNCp = Leie:yact</v>
      </c>
      <c r="G20" t="str">
        <f t="shared" si="0"/>
        <v>ELNCCLSGLIwSIwNCp = Leie:yact</v>
      </c>
    </row>
    <row r="21" spans="1:7" x14ac:dyDescent="0.25">
      <c r="A21" t="s">
        <v>237</v>
      </c>
      <c r="B21" t="str">
        <f>$A21&amp;"Out = "&amp;VLOOKUP(RIGHT($A21,3),energyforms!$A$2:$F$14,4,FALSE)&amp;"e"&amp;VLOOKUP($A21,MSG_New!$B$6:$E$106,4,FALSE)&amp;"e:out"</f>
        <v>ELNCCLSGSIwGUwOut = Eeje:out</v>
      </c>
      <c r="C21" t="str">
        <f>$A21&amp;"Inp = "&amp;VLOOKUP(RIGHT($A21,3),energyforms!$A$2:$F$14,4,FALSE)&amp;"e"&amp;VLOOKUP($A21,MSG_New!$B$6:$E$106,4,FALSE)&amp;"e:inp"</f>
        <v>ELNCCLSGSIwGUwInp = Eeje:inp</v>
      </c>
      <c r="D21" t="str">
        <f>$A21&amp;"Cap = "&amp;VLOOKUP(RIGHT($A21,3),energyforms!$A$2:$F$14,4,FALSE)&amp;"e"&amp;VLOOKUP($A21,MSG_New!$B$6:$E$106,4,FALSE)&amp;"e:tic"</f>
        <v>ELNCCLSGSIwGUwCap = Eeje:tic</v>
      </c>
      <c r="E21" t="str">
        <f>$A21&amp;"Inv = "&amp;VLOOKUP(RIGHT($A21,3),energyforms!$A$2:$F$14,4,FALSE)&amp;"e"&amp;VLOOKUP($A21,MSG_New!$B$6:$E$106,4,FALSE)&amp;"e:inv*"&amp;VLOOKUP(RIGHT($A21,3),energyforms!$A$2:$F$14,4,FALSE)&amp;"e"&amp;VLOOKUP($A21,MSG_New!$B$6:$E$106,4,FALSE)&amp;"e:yact/1000"</f>
        <v>ELNCCLSGSIwGUwInv = Eeje:inv*Eeje:yact/1000</v>
      </c>
      <c r="F21" t="str">
        <f>$A21&amp;"NCp = "&amp;VLOOKUP(RIGHT($A21,3),energyforms!$A$2:$F$14,4,FALSE)&amp;"e"&amp;VLOOKUP($A21,MSG_New!$B$6:$E$106,4,FALSE)&amp;"e:yact"</f>
        <v>ELNCCLSGSIwGUwNCp = Eeje:yact</v>
      </c>
      <c r="G21" t="str">
        <f t="shared" si="0"/>
        <v>ELNCCLSGSIwGUwNCp = Eeje:yact</v>
      </c>
    </row>
    <row r="22" spans="1:7" x14ac:dyDescent="0.25">
      <c r="A22" t="s">
        <v>238</v>
      </c>
      <c r="B22" t="str">
        <f>$A22&amp;"Out = "&amp;VLOOKUP(RIGHT($A22,3),energyforms!$A$2:$F$14,4,FALSE)&amp;"e"&amp;VLOOKUP($A22,MSG_New!$B$6:$E$106,4,FALSE)&amp;"e:out"</f>
        <v>ELNCCLSGLIwCIwOut = Beje:out</v>
      </c>
      <c r="C22" t="str">
        <f>$A22&amp;"Inp = "&amp;VLOOKUP(RIGHT($A22,3),energyforms!$A$2:$F$14,4,FALSE)&amp;"e"&amp;VLOOKUP($A22,MSG_New!$B$6:$E$106,4,FALSE)&amp;"e:inp"</f>
        <v>ELNCCLSGLIwCIwInp = Beje:inp</v>
      </c>
      <c r="D22" t="str">
        <f>$A22&amp;"Cap = "&amp;VLOOKUP(RIGHT($A22,3),energyforms!$A$2:$F$14,4,FALSE)&amp;"e"&amp;VLOOKUP($A22,MSG_New!$B$6:$E$106,4,FALSE)&amp;"e:tic"</f>
        <v>ELNCCLSGLIwCIwCap = Beje:tic</v>
      </c>
      <c r="E22" t="str">
        <f>$A22&amp;"Inv = "&amp;VLOOKUP(RIGHT($A22,3),energyforms!$A$2:$F$14,4,FALSE)&amp;"e"&amp;VLOOKUP($A22,MSG_New!$B$6:$E$106,4,FALSE)&amp;"e:inv*"&amp;VLOOKUP(RIGHT($A22,3),energyforms!$A$2:$F$14,4,FALSE)&amp;"e"&amp;VLOOKUP($A22,MSG_New!$B$6:$E$106,4,FALSE)&amp;"e:yact/1000"</f>
        <v>ELNCCLSGLIwCIwInv = Beje:inv*Beje:yact/1000</v>
      </c>
      <c r="F22" t="str">
        <f>$A22&amp;"NCp = "&amp;VLOOKUP(RIGHT($A22,3),energyforms!$A$2:$F$14,4,FALSE)&amp;"e"&amp;VLOOKUP($A22,MSG_New!$B$6:$E$106,4,FALSE)&amp;"e:yact"</f>
        <v>ELNCCLSGLIwCIwNCp = Beje:yact</v>
      </c>
    </row>
    <row r="23" spans="1:7" x14ac:dyDescent="0.25">
      <c r="A23" t="s">
        <v>239</v>
      </c>
      <c r="B23" t="str">
        <f>$A23&amp;"Out = "&amp;VLOOKUP(RIGHT($A23,3),energyforms!$A$2:$F$14,4,FALSE)&amp;"e"&amp;VLOOKUP($A23,MSG_New!$B$6:$E$106,4,FALSE)&amp;"e:out"</f>
        <v>ELNCCLSGGUwLIwOut = Geje:out</v>
      </c>
      <c r="C23" t="str">
        <f>$A23&amp;"Inp = "&amp;VLOOKUP(RIGHT($A23,3),energyforms!$A$2:$F$14,4,FALSE)&amp;"e"&amp;VLOOKUP($A23,MSG_New!$B$6:$E$106,4,FALSE)&amp;"e:inp"</f>
        <v>ELNCCLSGGUwLIwInp = Geje:inp</v>
      </c>
      <c r="D23" t="str">
        <f>$A23&amp;"Cap = "&amp;VLOOKUP(RIGHT($A23,3),energyforms!$A$2:$F$14,4,FALSE)&amp;"e"&amp;VLOOKUP($A23,MSG_New!$B$6:$E$106,4,FALSE)&amp;"e:tic"</f>
        <v>ELNCCLSGGUwLIwCap = Geje:tic</v>
      </c>
      <c r="E23" t="str">
        <f>$A23&amp;"Inv = "&amp;VLOOKUP(RIGHT($A23,3),energyforms!$A$2:$F$14,4,FALSE)&amp;"e"&amp;VLOOKUP($A23,MSG_New!$B$6:$E$106,4,FALSE)&amp;"e:inv*"&amp;VLOOKUP(RIGHT($A23,3),energyforms!$A$2:$F$14,4,FALSE)&amp;"e"&amp;VLOOKUP($A23,MSG_New!$B$6:$E$106,4,FALSE)&amp;"e:yact/1000"</f>
        <v>ELNCCLSGGUwLIwInv = Geje:inv*Geje:yact/1000</v>
      </c>
      <c r="F23" t="str">
        <f>$A23&amp;"NCp = "&amp;VLOOKUP(RIGHT($A23,3),energyforms!$A$2:$F$14,4,FALSE)&amp;"e"&amp;VLOOKUP($A23,MSG_New!$B$6:$E$106,4,FALSE)&amp;"e:yact"</f>
        <v>ELNCCLSGGUwLIwNCp = Geje:yact</v>
      </c>
    </row>
    <row r="24" spans="1:7" x14ac:dyDescent="0.25">
      <c r="A24" t="s">
        <v>240</v>
      </c>
      <c r="B24" t="str">
        <f>$A24&amp;"Out = "&amp;VLOOKUP(RIGHT($A24,3),energyforms!$A$2:$F$14,4,FALSE)&amp;"e"&amp;VLOOKUP($A24,MSG_New!$B$6:$E$106,4,FALSE)&amp;"e:out"</f>
        <v>ELNCCLSGSIwLIwOut = Geke:out</v>
      </c>
      <c r="C24" t="str">
        <f>$A24&amp;"Inp = "&amp;VLOOKUP(RIGHT($A24,3),energyforms!$A$2:$F$14,4,FALSE)&amp;"e"&amp;VLOOKUP($A24,MSG_New!$B$6:$E$106,4,FALSE)&amp;"e:inp"</f>
        <v>ELNCCLSGSIwLIwInp = Geke:inp</v>
      </c>
      <c r="D24" t="str">
        <f>$A24&amp;"Cap = "&amp;VLOOKUP(RIGHT($A24,3),energyforms!$A$2:$F$14,4,FALSE)&amp;"e"&amp;VLOOKUP($A24,MSG_New!$B$6:$E$106,4,FALSE)&amp;"e:tic"</f>
        <v>ELNCCLSGSIwLIwCap = Geke:tic</v>
      </c>
      <c r="E24" t="str">
        <f>$A24&amp;"Inv = "&amp;VLOOKUP(RIGHT($A24,3),energyforms!$A$2:$F$14,4,FALSE)&amp;"e"&amp;VLOOKUP($A24,MSG_New!$B$6:$E$106,4,FALSE)&amp;"e:inv*"&amp;VLOOKUP(RIGHT($A24,3),energyforms!$A$2:$F$14,4,FALSE)&amp;"e"&amp;VLOOKUP($A24,MSG_New!$B$6:$E$106,4,FALSE)&amp;"e:yact/1000"</f>
        <v>ELNCCLSGSIwLIwInv = Geke:inv*Geke:yact/1000</v>
      </c>
      <c r="F24" t="str">
        <f>$A24&amp;"NCp = "&amp;VLOOKUP(RIGHT($A24,3),energyforms!$A$2:$F$14,4,FALSE)&amp;"e"&amp;VLOOKUP($A24,MSG_New!$B$6:$E$106,4,FALSE)&amp;"e:yact"</f>
        <v>ELNCCLSGSIwLIwNCp = Geke:yact</v>
      </c>
    </row>
    <row r="25" spans="1:7" s="48" customFormat="1" x14ac:dyDescent="0.25">
      <c r="A25" s="48" t="s">
        <v>241</v>
      </c>
      <c r="B25" s="48" t="str">
        <f>$A25&amp;"Out = "&amp;VLOOKUP(RIGHT($A25,3),energyforms!$A$2:$F$14,4,FALSE)&amp;"e"&amp;VLOOKUP($A25,MSG_New!$B$6:$E$106,4,FALSE)&amp;"e:out"</f>
        <v>ELNCCLSGGUwSIwOut = Leje:out</v>
      </c>
      <c r="C25" s="48" t="str">
        <f>$A25&amp;"Inp = "&amp;VLOOKUP(RIGHT($A25,3),energyforms!$A$2:$F$14,4,FALSE)&amp;"e"&amp;VLOOKUP($A25,MSG_New!$B$6:$E$106,4,FALSE)&amp;"e:inp"</f>
        <v>ELNCCLSGGUwSIwInp = Leje:inp</v>
      </c>
      <c r="D25" s="48" t="str">
        <f>$A25&amp;"Cap = "&amp;VLOOKUP(RIGHT($A25,3),energyforms!$A$2:$F$14,4,FALSE)&amp;"e"&amp;VLOOKUP($A25,MSG_New!$B$6:$E$106,4,FALSE)&amp;"e:tic"</f>
        <v>ELNCCLSGGUwSIwCap = Leje:tic</v>
      </c>
      <c r="E25" s="48" t="str">
        <f>$A25&amp;"Inv = "&amp;VLOOKUP(RIGHT($A25,3),energyforms!$A$2:$F$14,4,FALSE)&amp;"e"&amp;VLOOKUP($A25,MSG_New!$B$6:$E$106,4,FALSE)&amp;"e:inv*"&amp;VLOOKUP(RIGHT($A25,3),energyforms!$A$2:$F$14,4,FALSE)&amp;"e"&amp;VLOOKUP($A25,MSG_New!$B$6:$E$106,4,FALSE)&amp;"e:yact/1000"</f>
        <v>ELNCCLSGGUwSIwInv = Leje:inv*Leje:yact/1000</v>
      </c>
      <c r="F25" s="48" t="str">
        <f>$A25&amp;"NCp = "&amp;VLOOKUP(RIGHT($A25,3),energyforms!$A$2:$F$14,4,FALSE)&amp;"e"&amp;VLOOKUP($A25,MSG_New!$B$6:$E$106,4,FALSE)&amp;"e:yact"</f>
        <v>ELNCCLSGGUwSIwNCp = Leje:yact</v>
      </c>
    </row>
    <row r="26" spans="1:7" x14ac:dyDescent="0.25">
      <c r="A26" t="s">
        <v>226</v>
      </c>
      <c r="B26" t="str">
        <f>$A26&amp;"Out = "&amp;VLOOKUP(RIGHT($A26,3),energyforms!$A$2:$F$14,4,FALSE)&amp;"e"&amp;VLOOKUP($A26,MSG_New!$B$6:$E$106,4,FALSE)&amp;"e:out"</f>
        <v>ELNCOMVGSEwGUwOut = Eeke:out</v>
      </c>
      <c r="C26" t="str">
        <f>$A26&amp;"Inp = "&amp;VLOOKUP(RIGHT($A26,3),energyforms!$A$2:$F$14,4,FALSE)&amp;"e"&amp;VLOOKUP($A26,MSG_New!$B$6:$E$106,4,FALSE)&amp;"e:inp"</f>
        <v>ELNCOMVGSEwGUwInp = Eeke:inp</v>
      </c>
      <c r="D26" t="str">
        <f>$A26&amp;"Cap = "&amp;VLOOKUP(RIGHT($A26,3),energyforms!$A$2:$F$14,4,FALSE)&amp;"e"&amp;VLOOKUP($A26,MSG_New!$B$6:$E$106,4,FALSE)&amp;"e:tic"</f>
        <v>ELNCOMVGSEwGUwCap = Eeke:tic</v>
      </c>
      <c r="E26" t="str">
        <f>$A26&amp;"Inv = "&amp;VLOOKUP(RIGHT($A26,3),energyforms!$A$2:$F$14,4,FALSE)&amp;"e"&amp;VLOOKUP($A26,MSG_New!$B$6:$E$106,4,FALSE)&amp;"e:inv*"&amp;VLOOKUP(RIGHT($A26,3),energyforms!$A$2:$F$14,4,FALSE)&amp;"e"&amp;VLOOKUP($A26,MSG_New!$B$6:$E$106,4,FALSE)&amp;"e:yact/1000"</f>
        <v>ELNCOMVGSEwGUwInv = Eeke:inv*Eeke:yact/1000</v>
      </c>
      <c r="F26" t="str">
        <f>$A26&amp;"NCp = "&amp;VLOOKUP(RIGHT($A26,3),energyforms!$A$2:$F$14,4,FALSE)&amp;"e"&amp;VLOOKUP($A26,MSG_New!$B$6:$E$106,4,FALSE)&amp;"e:yact"</f>
        <v>ELNCOMVGSEwGUwNCp = Eeke:yact</v>
      </c>
      <c r="G26" t="str">
        <f>F26</f>
        <v>ELNCOMVGSEwGUwNCp = Eeke:yact</v>
      </c>
    </row>
    <row r="27" spans="1:7" x14ac:dyDescent="0.25">
      <c r="A27" t="s">
        <v>227</v>
      </c>
      <c r="B27" t="str">
        <f>$A27&amp;"Out = "&amp;VLOOKUP(RIGHT($A27,3),energyforms!$A$2:$F$14,4,FALSE)&amp;"e"&amp;VLOOKUP($A27,MSG_New!$B$6:$E$106,4,FALSE)&amp;"e:out"</f>
        <v>ELNCOMVGSEwGAwOut = Ceie:out</v>
      </c>
      <c r="C27" t="str">
        <f>$A27&amp;"Inp = "&amp;VLOOKUP(RIGHT($A27,3),energyforms!$A$2:$F$14,4,FALSE)&amp;"e"&amp;VLOOKUP($A27,MSG_New!$B$6:$E$106,4,FALSE)&amp;"e:inp"</f>
        <v>ELNCOMVGSEwGAwInp = Ceie:inp</v>
      </c>
      <c r="D27" t="str">
        <f>$A27&amp;"Cap = "&amp;VLOOKUP(RIGHT($A27,3),energyforms!$A$2:$F$14,4,FALSE)&amp;"e"&amp;VLOOKUP($A27,MSG_New!$B$6:$E$106,4,FALSE)&amp;"e:tic"</f>
        <v>ELNCOMVGSEwGAwCap = Ceie:tic</v>
      </c>
      <c r="E27" t="str">
        <f>$A27&amp;"Inv = "&amp;VLOOKUP(RIGHT($A27,3),energyforms!$A$2:$F$14,4,FALSE)&amp;"e"&amp;VLOOKUP($A27,MSG_New!$B$6:$E$106,4,FALSE)&amp;"e:inv*"&amp;VLOOKUP(RIGHT($A27,3),energyforms!$A$2:$F$14,4,FALSE)&amp;"e"&amp;VLOOKUP($A27,MSG_New!$B$6:$E$106,4,FALSE)&amp;"e:yact/1000"</f>
        <v>ELNCOMVGSEwGAwInv = Ceie:inv*Ceie:yact/1000</v>
      </c>
      <c r="F27" t="str">
        <f>$A27&amp;"NCp = "&amp;VLOOKUP(RIGHT($A27,3),energyforms!$A$2:$F$14,4,FALSE)&amp;"e"&amp;VLOOKUP($A27,MSG_New!$B$6:$E$106,4,FALSE)&amp;"e:yact"</f>
        <v>ELNCOMVGSEwGAwNCp = Ceie:yact</v>
      </c>
      <c r="G27" t="str">
        <f>F27</f>
        <v>ELNCOMVGSEwGAwNCp = Ceie:yact</v>
      </c>
    </row>
    <row r="28" spans="1:7" x14ac:dyDescent="0.25">
      <c r="A28" t="s">
        <v>228</v>
      </c>
      <c r="B28" t="str">
        <f>$A28&amp;"Out = "&amp;VLOOKUP(RIGHT($A28,3),energyforms!$A$2:$F$14,4,FALSE)&amp;"e"&amp;VLOOKUP($A28,MSG_New!$B$6:$E$106,4,FALSE)&amp;"e:out"</f>
        <v>ELNCOMVGGAwGBwOut = Feie:out</v>
      </c>
      <c r="C28" t="str">
        <f>$A28&amp;"Inp = "&amp;VLOOKUP(RIGHT($A28,3),energyforms!$A$2:$F$14,4,FALSE)&amp;"e"&amp;VLOOKUP($A28,MSG_New!$B$6:$E$106,4,FALSE)&amp;"e:inp"</f>
        <v>ELNCOMVGGAwGBwInp = Feie:inp</v>
      </c>
      <c r="D28" t="str">
        <f>$A28&amp;"Cap = "&amp;VLOOKUP(RIGHT($A28,3),energyforms!$A$2:$F$14,4,FALSE)&amp;"e"&amp;VLOOKUP($A28,MSG_New!$B$6:$E$106,4,FALSE)&amp;"e:tic"</f>
        <v>ELNCOMVGGAwGBwCap = Feie:tic</v>
      </c>
      <c r="E28" t="str">
        <f>$A28&amp;"Inv = "&amp;VLOOKUP(RIGHT($A28,3),energyforms!$A$2:$F$14,4,FALSE)&amp;"e"&amp;VLOOKUP($A28,MSG_New!$B$6:$E$106,4,FALSE)&amp;"e:inv*"&amp;VLOOKUP(RIGHT($A28,3),energyforms!$A$2:$F$14,4,FALSE)&amp;"e"&amp;VLOOKUP($A28,MSG_New!$B$6:$E$106,4,FALSE)&amp;"e:yact/1000"</f>
        <v>ELNCOMVGGAwGBwInv = Feie:inv*Feie:yact/1000</v>
      </c>
      <c r="F28" t="str">
        <f>$A28&amp;"NCp = "&amp;VLOOKUP(RIGHT($A28,3),energyforms!$A$2:$F$14,4,FALSE)&amp;"e"&amp;VLOOKUP($A28,MSG_New!$B$6:$E$106,4,FALSE)&amp;"e:yact"</f>
        <v>ELNCOMVGGAwGBwNCp = Feie:yact</v>
      </c>
    </row>
    <row r="29" spans="1:7" s="48" customFormat="1" x14ac:dyDescent="0.25">
      <c r="A29" s="48" t="s">
        <v>229</v>
      </c>
      <c r="B29" s="48" t="str">
        <f>$A29&amp;"Out = "&amp;VLOOKUP(RIGHT($A29,3),energyforms!$A$2:$F$14,4,FALSE)&amp;"e"&amp;VLOOKUP($A29,MSG_New!$B$6:$E$106,4,FALSE)&amp;"e:out"</f>
        <v>ELNCOMVGGBwGUwOut = Eele:out</v>
      </c>
      <c r="C29" s="48" t="str">
        <f>$A29&amp;"Inp = "&amp;VLOOKUP(RIGHT($A29,3),energyforms!$A$2:$F$14,4,FALSE)&amp;"e"&amp;VLOOKUP($A29,MSG_New!$B$6:$E$106,4,FALSE)&amp;"e:inp"</f>
        <v>ELNCOMVGGBwGUwInp = Eele:inp</v>
      </c>
      <c r="D29" s="48" t="str">
        <f>$A29&amp;"Cap = "&amp;VLOOKUP(RIGHT($A29,3),energyforms!$A$2:$F$14,4,FALSE)&amp;"e"&amp;VLOOKUP($A29,MSG_New!$B$6:$E$106,4,FALSE)&amp;"e:tic"</f>
        <v>ELNCOMVGGBwGUwCap = Eele:tic</v>
      </c>
      <c r="E29" s="48" t="str">
        <f>$A29&amp;"Inv = "&amp;VLOOKUP(RIGHT($A29,3),energyforms!$A$2:$F$14,4,FALSE)&amp;"e"&amp;VLOOKUP($A29,MSG_New!$B$6:$E$106,4,FALSE)&amp;"e:inv*"&amp;VLOOKUP(RIGHT($A29,3),energyforms!$A$2:$F$14,4,FALSE)&amp;"e"&amp;VLOOKUP($A29,MSG_New!$B$6:$E$106,4,FALSE)&amp;"e:yact/1000"</f>
        <v>ELNCOMVGGBwGUwInv = Eele:inv*Eele:yact/1000</v>
      </c>
      <c r="F29" s="48" t="str">
        <f>$A29&amp;"NCp = "&amp;VLOOKUP(RIGHT($A29,3),energyforms!$A$2:$F$14,4,FALSE)&amp;"e"&amp;VLOOKUP($A29,MSG_New!$B$6:$E$106,4,FALSE)&amp;"e:yact"</f>
        <v>ELNCOMVGGBwGUwNCp = Eele:yact</v>
      </c>
    </row>
    <row r="30" spans="1:7" x14ac:dyDescent="0.25">
      <c r="A30" t="s">
        <v>230</v>
      </c>
      <c r="B30" t="str">
        <f>$A30&amp;"Out = "&amp;VLOOKUP(RIGHT($A30,3),energyforms!$A$2:$F$14,4,FALSE)&amp;"e"&amp;VLOOKUP($A30,MSG_New!$B$6:$E$106,4,FALSE)&amp;"e:out"</f>
        <v>ELNCOMVGGUwSEwOut = Keie:out</v>
      </c>
      <c r="C30" t="str">
        <f>$A30&amp;"Inp = "&amp;VLOOKUP(RIGHT($A30,3),energyforms!$A$2:$F$14,4,FALSE)&amp;"e"&amp;VLOOKUP($A30,MSG_New!$B$6:$E$106,4,FALSE)&amp;"e:inp"</f>
        <v>ELNCOMVGGUwSEwInp = Keie:inp</v>
      </c>
      <c r="D30" t="str">
        <f>$A30&amp;"Cap = "&amp;VLOOKUP(RIGHT($A30,3),energyforms!$A$2:$F$14,4,FALSE)&amp;"e"&amp;VLOOKUP($A30,MSG_New!$B$6:$E$106,4,FALSE)&amp;"e:tic"</f>
        <v>ELNCOMVGGUwSEwCap = Keie:tic</v>
      </c>
      <c r="E30" t="str">
        <f>$A30&amp;"Inv = "&amp;VLOOKUP(RIGHT($A30,3),energyforms!$A$2:$F$14,4,FALSE)&amp;"e"&amp;VLOOKUP($A30,MSG_New!$B$6:$E$106,4,FALSE)&amp;"e:inv*"&amp;VLOOKUP(RIGHT($A30,3),energyforms!$A$2:$F$14,4,FALSE)&amp;"e"&amp;VLOOKUP($A30,MSG_New!$B$6:$E$106,4,FALSE)&amp;"e:yact/1000"</f>
        <v>ELNCOMVGGUwSEwInv = Keie:inv*Keie:yact/1000</v>
      </c>
      <c r="F30" t="str">
        <f>$A30&amp;"NCp = "&amp;VLOOKUP(RIGHT($A30,3),energyforms!$A$2:$F$14,4,FALSE)&amp;"e"&amp;VLOOKUP($A30,MSG_New!$B$6:$E$106,4,FALSE)&amp;"e:yact"</f>
        <v>ELNCOMVGGUwSEwNCp = Keie:yact</v>
      </c>
      <c r="G30" t="str">
        <f t="shared" ref="G30:G31" si="1">F30</f>
        <v>ELNCOMVGGUwSEwNCp = Keie:yact</v>
      </c>
    </row>
    <row r="31" spans="1:7" x14ac:dyDescent="0.25">
      <c r="A31" t="s">
        <v>231</v>
      </c>
      <c r="B31" t="str">
        <f>$A31&amp;"Out = "&amp;VLOOKUP(RIGHT($A31,3),energyforms!$A$2:$F$14,4,FALSE)&amp;"e"&amp;VLOOKUP($A31,MSG_New!$B$6:$E$106,4,FALSE)&amp;"e:out"</f>
        <v>ELNCOMVGGAwSEwOut = Keje:out</v>
      </c>
      <c r="C31" t="str">
        <f>$A31&amp;"Inp = "&amp;VLOOKUP(RIGHT($A31,3),energyforms!$A$2:$F$14,4,FALSE)&amp;"e"&amp;VLOOKUP($A31,MSG_New!$B$6:$E$106,4,FALSE)&amp;"e:inp"</f>
        <v>ELNCOMVGGAwSEwInp = Keje:inp</v>
      </c>
      <c r="D31" t="str">
        <f>$A31&amp;"Cap = "&amp;VLOOKUP(RIGHT($A31,3),energyforms!$A$2:$F$14,4,FALSE)&amp;"e"&amp;VLOOKUP($A31,MSG_New!$B$6:$E$106,4,FALSE)&amp;"e:tic"</f>
        <v>ELNCOMVGGAwSEwCap = Keje:tic</v>
      </c>
      <c r="E31" t="str">
        <f>$A31&amp;"Inv = "&amp;VLOOKUP(RIGHT($A31,3),energyforms!$A$2:$F$14,4,FALSE)&amp;"e"&amp;VLOOKUP($A31,MSG_New!$B$6:$E$106,4,FALSE)&amp;"e:inv*"&amp;VLOOKUP(RIGHT($A31,3),energyforms!$A$2:$F$14,4,FALSE)&amp;"e"&amp;VLOOKUP($A31,MSG_New!$B$6:$E$106,4,FALSE)&amp;"e:yact/1000"</f>
        <v>ELNCOMVGGAwSEwInv = Keje:inv*Keje:yact/1000</v>
      </c>
      <c r="F31" t="str">
        <f>$A31&amp;"NCp = "&amp;VLOOKUP(RIGHT($A31,3),energyforms!$A$2:$F$14,4,FALSE)&amp;"e"&amp;VLOOKUP($A31,MSG_New!$B$6:$E$106,4,FALSE)&amp;"e:yact"</f>
        <v>ELNCOMVGGAwSEwNCp = Keje:yact</v>
      </c>
      <c r="G31" t="str">
        <f t="shared" si="1"/>
        <v>ELNCOMVGGAwSEwNCp = Keje:yact</v>
      </c>
    </row>
    <row r="32" spans="1:7" x14ac:dyDescent="0.25">
      <c r="A32" t="s">
        <v>232</v>
      </c>
      <c r="B32" t="str">
        <f>$A32&amp;"Out = "&amp;VLOOKUP(RIGHT($A32,3),energyforms!$A$2:$F$14,4,FALSE)&amp;"e"&amp;VLOOKUP($A32,MSG_New!$B$6:$E$106,4,FALSE)&amp;"e:out"</f>
        <v>ELNCOMVGGBwGAwOut = Ceje:out</v>
      </c>
      <c r="C32" t="str">
        <f>$A32&amp;"Inp = "&amp;VLOOKUP(RIGHT($A32,3),energyforms!$A$2:$F$14,4,FALSE)&amp;"e"&amp;VLOOKUP($A32,MSG_New!$B$6:$E$106,4,FALSE)&amp;"e:inp"</f>
        <v>ELNCOMVGGBwGAwInp = Ceje:inp</v>
      </c>
      <c r="D32" t="str">
        <f>$A32&amp;"Cap = "&amp;VLOOKUP(RIGHT($A32,3),energyforms!$A$2:$F$14,4,FALSE)&amp;"e"&amp;VLOOKUP($A32,MSG_New!$B$6:$E$106,4,FALSE)&amp;"e:tic"</f>
        <v>ELNCOMVGGBwGAwCap = Ceje:tic</v>
      </c>
      <c r="E32" t="str">
        <f>$A32&amp;"Inv = "&amp;VLOOKUP(RIGHT($A32,3),energyforms!$A$2:$F$14,4,FALSE)&amp;"e"&amp;VLOOKUP($A32,MSG_New!$B$6:$E$106,4,FALSE)&amp;"e:inv*"&amp;VLOOKUP(RIGHT($A32,3),energyforms!$A$2:$F$14,4,FALSE)&amp;"e"&amp;VLOOKUP($A32,MSG_New!$B$6:$E$106,4,FALSE)&amp;"e:yact/1000"</f>
        <v>ELNCOMVGGBwGAwInv = Ceje:inv*Ceje:yact/1000</v>
      </c>
      <c r="F32" t="str">
        <f>$A32&amp;"NCp = "&amp;VLOOKUP(RIGHT($A32,3),energyforms!$A$2:$F$14,4,FALSE)&amp;"e"&amp;VLOOKUP($A32,MSG_New!$B$6:$E$106,4,FALSE)&amp;"e:yact"</f>
        <v>ELNCOMVGGBwGAwNCp = Ceje:yact</v>
      </c>
    </row>
    <row r="33" spans="1:7" s="48" customFormat="1" x14ac:dyDescent="0.25">
      <c r="A33" s="48" t="s">
        <v>233</v>
      </c>
      <c r="B33" s="48" t="str">
        <f>$A33&amp;"Out = "&amp;VLOOKUP(RIGHT($A33,3),energyforms!$A$2:$F$14,4,FALSE)&amp;"e"&amp;VLOOKUP($A33,MSG_New!$B$6:$E$106,4,FALSE)&amp;"e:out"</f>
        <v>ELNCOMVGGUwGBwOut = Feje:out</v>
      </c>
      <c r="C33" s="48" t="str">
        <f>$A33&amp;"Inp = "&amp;VLOOKUP(RIGHT($A33,3),energyforms!$A$2:$F$14,4,FALSE)&amp;"e"&amp;VLOOKUP($A33,MSG_New!$B$6:$E$106,4,FALSE)&amp;"e:inp"</f>
        <v>ELNCOMVGGUwGBwInp = Feje:inp</v>
      </c>
      <c r="D33" s="48" t="str">
        <f>$A33&amp;"Cap = "&amp;VLOOKUP(RIGHT($A33,3),energyforms!$A$2:$F$14,4,FALSE)&amp;"e"&amp;VLOOKUP($A33,MSG_New!$B$6:$E$106,4,FALSE)&amp;"e:tic"</f>
        <v>ELNCOMVGGUwGBwCap = Feje:tic</v>
      </c>
      <c r="E33" s="48" t="str">
        <f>$A33&amp;"Inv = "&amp;VLOOKUP(RIGHT($A33,3),energyforms!$A$2:$F$14,4,FALSE)&amp;"e"&amp;VLOOKUP($A33,MSG_New!$B$6:$E$106,4,FALSE)&amp;"e:inv*"&amp;VLOOKUP(RIGHT($A33,3),energyforms!$A$2:$F$14,4,FALSE)&amp;"e"&amp;VLOOKUP($A33,MSG_New!$B$6:$E$106,4,FALSE)&amp;"e:yact/1000"</f>
        <v>ELNCOMVGGUwGBwInv = Feje:inv*Feje:yact/1000</v>
      </c>
      <c r="F33" s="48" t="str">
        <f>$A33&amp;"NCp = "&amp;VLOOKUP(RIGHT($A33,3),energyforms!$A$2:$F$14,4,FALSE)&amp;"e"&amp;VLOOKUP($A33,MSG_New!$B$6:$E$106,4,FALSE)&amp;"e:yact"</f>
        <v>ELNCOMVGGUwGBwNCp = Feje:yact</v>
      </c>
    </row>
    <row r="34" spans="1:7" x14ac:dyDescent="0.25">
      <c r="A34" t="s">
        <v>212</v>
      </c>
      <c r="B34" t="str">
        <f>$A34&amp;"Out = "&amp;VLOOKUP(RIGHT($A34,3),energyforms!$A$2:$F$14,4,FALSE)&amp;"e"&amp;VLOOKUP($A34,MSG_New!$B$6:$E$106,4,FALSE)&amp;"e:out"</f>
        <v>ELNUCoNNGwNIwOut = Ieie:out</v>
      </c>
      <c r="C34" t="str">
        <f>$A34&amp;"Inp = "&amp;VLOOKUP(RIGHT($A34,3),energyforms!$A$2:$F$14,4,FALSE)&amp;"e"&amp;VLOOKUP($A34,MSG_New!$B$6:$E$106,4,FALSE)&amp;"e:inp"</f>
        <v>ELNUCoNNGwNIwInp = Ieie:inp</v>
      </c>
      <c r="D34" t="str">
        <f>$A34&amp;"Cap = "&amp;VLOOKUP(RIGHT($A34,3),energyforms!$A$2:$F$14,4,FALSE)&amp;"e"&amp;VLOOKUP($A34,MSG_New!$B$6:$E$106,4,FALSE)&amp;"e:tic"</f>
        <v>ELNUCoNNGwNIwCap = Ieie:tic</v>
      </c>
      <c r="E34" t="str">
        <f>$A34&amp;"Inv = "&amp;VLOOKUP(RIGHT($A34,3),energyforms!$A$2:$F$14,4,FALSE)&amp;"e"&amp;VLOOKUP($A34,MSG_New!$B$6:$E$106,4,FALSE)&amp;"e:inv*"&amp;VLOOKUP(RIGHT($A34,3),energyforms!$A$2:$F$14,4,FALSE)&amp;"e"&amp;VLOOKUP($A34,MSG_New!$B$6:$E$106,4,FALSE)&amp;"e:yact/1000"</f>
        <v>ELNUCoNNGwNIwInv = Ieie:inv*Ieie:yact/1000</v>
      </c>
      <c r="F34" t="str">
        <f>$A34&amp;"NCp = "&amp;VLOOKUP(RIGHT($A34,3),energyforms!$A$2:$F$14,4,FALSE)&amp;"e"&amp;VLOOKUP($A34,MSG_New!$B$6:$E$106,4,FALSE)&amp;"e:yact"</f>
        <v>ELNUCoNNGwNIwNCp = Ieie:yact</v>
      </c>
      <c r="G34" t="str">
        <f t="shared" ref="G34:G36" si="2">F34</f>
        <v>ELNUCoNNGwNIwNCp = Ieie:yact</v>
      </c>
    </row>
    <row r="35" spans="1:7" x14ac:dyDescent="0.25">
      <c r="A35" t="s">
        <v>213</v>
      </c>
      <c r="B35" t="str">
        <f>$A35&amp;"Out = "&amp;VLOOKUP(RIGHT($A35,3),energyforms!$A$2:$F$14,4,FALSE)&amp;"e"&amp;VLOOKUP($A35,MSG_New!$B$6:$E$106,4,FALSE)&amp;"e:out"</f>
        <v>ELNUCoNNIwTBwOut = Meje:out</v>
      </c>
      <c r="C35" t="str">
        <f>$A35&amp;"Inp = "&amp;VLOOKUP(RIGHT($A35,3),energyforms!$A$2:$F$14,4,FALSE)&amp;"e"&amp;VLOOKUP($A35,MSG_New!$B$6:$E$106,4,FALSE)&amp;"e:inp"</f>
        <v>ELNUCoNNIwTBwInp = Meje:inp</v>
      </c>
      <c r="D35" t="str">
        <f>$A35&amp;"Cap = "&amp;VLOOKUP(RIGHT($A35,3),energyforms!$A$2:$F$14,4,FALSE)&amp;"e"&amp;VLOOKUP($A35,MSG_New!$B$6:$E$106,4,FALSE)&amp;"e:tic"</f>
        <v>ELNUCoNNIwTBwCap = Meje:tic</v>
      </c>
      <c r="E35" t="str">
        <f>$A35&amp;"Inv = "&amp;VLOOKUP(RIGHT($A35,3),energyforms!$A$2:$F$14,4,FALSE)&amp;"e"&amp;VLOOKUP($A35,MSG_New!$B$6:$E$106,4,FALSE)&amp;"e:inv*"&amp;VLOOKUP(RIGHT($A35,3),energyforms!$A$2:$F$14,4,FALSE)&amp;"e"&amp;VLOOKUP($A35,MSG_New!$B$6:$E$106,4,FALSE)&amp;"e:yact/1000"</f>
        <v>ELNUCoNNIwTBwInv = Meje:inv*Meje:yact/1000</v>
      </c>
      <c r="F35" t="str">
        <f>$A35&amp;"NCp = "&amp;VLOOKUP(RIGHT($A35,3),energyforms!$A$2:$F$14,4,FALSE)&amp;"e"&amp;VLOOKUP($A35,MSG_New!$B$6:$E$106,4,FALSE)&amp;"e:yact"</f>
        <v>ELNUCoNNIwTBwNCp = Meje:yact</v>
      </c>
      <c r="G35" t="str">
        <f t="shared" si="2"/>
        <v>ELNUCoNNIwTBwNCp = Meje:yact</v>
      </c>
    </row>
    <row r="36" spans="1:7" x14ac:dyDescent="0.25">
      <c r="A36" t="s">
        <v>214</v>
      </c>
      <c r="B36" t="str">
        <f>$A36&amp;"Out = "&amp;VLOOKUP(RIGHT($A36,3),energyforms!$A$2:$F$14,4,FALSE)&amp;"e"&amp;VLOOKUP($A36,MSG_New!$B$6:$E$106,4,FALSE)&amp;"e:out"</f>
        <v>ELNUCoNNIwBUwOut = Aeie:out</v>
      </c>
      <c r="C36" t="str">
        <f>$A36&amp;"Inp = "&amp;VLOOKUP(RIGHT($A36,3),energyforms!$A$2:$F$14,4,FALSE)&amp;"e"&amp;VLOOKUP($A36,MSG_New!$B$6:$E$106,4,FALSE)&amp;"e:inp"</f>
        <v>ELNUCoNNIwBUwInp = Aeie:inp</v>
      </c>
      <c r="D36" t="str">
        <f>$A36&amp;"Cap = "&amp;VLOOKUP(RIGHT($A36,3),energyforms!$A$2:$F$14,4,FALSE)&amp;"e"&amp;VLOOKUP($A36,MSG_New!$B$6:$E$106,4,FALSE)&amp;"e:tic"</f>
        <v>ELNUCoNNIwBUwCap = Aeie:tic</v>
      </c>
      <c r="E36" t="str">
        <f>$A36&amp;"Inv = "&amp;VLOOKUP(RIGHT($A36,3),energyforms!$A$2:$F$14,4,FALSE)&amp;"e"&amp;VLOOKUP($A36,MSG_New!$B$6:$E$106,4,FALSE)&amp;"e:inv*"&amp;VLOOKUP(RIGHT($A36,3),energyforms!$A$2:$F$14,4,FALSE)&amp;"e"&amp;VLOOKUP($A36,MSG_New!$B$6:$E$106,4,FALSE)&amp;"e:yact/1000"</f>
        <v>ELNUCoNNIwBUwInv = Aeie:inv*Aeie:yact/1000</v>
      </c>
      <c r="F36" t="str">
        <f>$A36&amp;"NCp = "&amp;VLOOKUP(RIGHT($A36,3),energyforms!$A$2:$F$14,4,FALSE)&amp;"e"&amp;VLOOKUP($A36,MSG_New!$B$6:$E$106,4,FALSE)&amp;"e:yact"</f>
        <v>ELNUCoNNIwBUwNCp = Aeie:yact</v>
      </c>
      <c r="G36" t="str">
        <f t="shared" si="2"/>
        <v>ELNUCoNNIwBUwNCp = Aeie:yact</v>
      </c>
    </row>
    <row r="37" spans="1:7" x14ac:dyDescent="0.25">
      <c r="A37" t="s">
        <v>215</v>
      </c>
      <c r="B37" t="str">
        <f>$A37&amp;"Out = "&amp;VLOOKUP(RIGHT($A37,3),energyforms!$A$2:$F$14,4,FALSE)&amp;"e"&amp;VLOOKUP($A37,MSG_New!$B$6:$E$106,4,FALSE)&amp;"e:out"</f>
        <v>ELNUCoNNIwNGwOut = Jeie:out</v>
      </c>
      <c r="C37" t="str">
        <f>$A37&amp;"Inp = "&amp;VLOOKUP(RIGHT($A37,3),energyforms!$A$2:$F$14,4,FALSE)&amp;"e"&amp;VLOOKUP($A37,MSG_New!$B$6:$E$106,4,FALSE)&amp;"e:inp"</f>
        <v>ELNUCoNNIwNGwInp = Jeie:inp</v>
      </c>
      <c r="D37" t="str">
        <f>$A37&amp;"Cap = "&amp;VLOOKUP(RIGHT($A37,3),energyforms!$A$2:$F$14,4,FALSE)&amp;"e"&amp;VLOOKUP($A37,MSG_New!$B$6:$E$106,4,FALSE)&amp;"e:tic"</f>
        <v>ELNUCoNNIwNGwCap = Jeie:tic</v>
      </c>
      <c r="E37" t="str">
        <f>$A37&amp;"Inv = "&amp;VLOOKUP(RIGHT($A37,3),energyforms!$A$2:$F$14,4,FALSE)&amp;"e"&amp;VLOOKUP($A37,MSG_New!$B$6:$E$106,4,FALSE)&amp;"e:inv*"&amp;VLOOKUP(RIGHT($A37,3),energyforms!$A$2:$F$14,4,FALSE)&amp;"e"&amp;VLOOKUP($A37,MSG_New!$B$6:$E$106,4,FALSE)&amp;"e:yact/1000"</f>
        <v>ELNUCoNNIwNGwInv = Jeie:inv*Jeie:yact/1000</v>
      </c>
      <c r="F37" t="str">
        <f>$A37&amp;"NCp = "&amp;VLOOKUP(RIGHT($A37,3),energyforms!$A$2:$F$14,4,FALSE)&amp;"e"&amp;VLOOKUP($A37,MSG_New!$B$6:$E$106,4,FALSE)&amp;"e:yact"</f>
        <v>ELNUCoNNIwNGwNCp = Jeie:yact</v>
      </c>
    </row>
    <row r="38" spans="1:7" x14ac:dyDescent="0.25">
      <c r="A38" t="s">
        <v>216</v>
      </c>
      <c r="B38" t="str">
        <f>$A38&amp;"Out = "&amp;VLOOKUP(MID($A38,11,3),energyforms!$A$2:$F$14,4,FALSE)&amp;"e"&amp;VLOOKUP($A38,MSG_New!$B$6:$E$106,4,FALSE)&amp;"e:out"</f>
        <v>ELNUCoNTBwNIwOut = Ieje:out</v>
      </c>
      <c r="C38" t="str">
        <f>$A38&amp;"Inp = "&amp;VLOOKUP(MID($A38,11,3),energyforms!$A$2:$F$14,4,FALSE)&amp;"e"&amp;VLOOKUP($A38,MSG_New!$B$6:$E$106,4,FALSE)&amp;"e:inp"</f>
        <v>ELNUCoNTBwNIwInp = Ieje:inp</v>
      </c>
      <c r="D38" t="str">
        <f>$A38&amp;"Cap = "&amp;VLOOKUP(MID($A38,11,3),energyforms!$A$2:$F$14,4,FALSE)&amp;"e"&amp;VLOOKUP($A38,MSG_New!$B$6:$E$106,4,FALSE)&amp;"e:tic"</f>
        <v>ELNUCoNTBwNIwCap = Ieje:tic</v>
      </c>
      <c r="E38" t="str">
        <f>$A38&amp;"Inv = "&amp;VLOOKUP(RIGHT($A38,3),energyforms!$A$2:$F$14,4,FALSE)&amp;"e"&amp;VLOOKUP($A38,MSG_New!$B$6:$E$106,4,FALSE)&amp;"e:inv*"&amp;VLOOKUP(RIGHT($A38,3),energyforms!$A$2:$F$14,4,FALSE)&amp;"e"&amp;VLOOKUP($A38,MSG_New!$B$6:$E$106,4,FALSE)&amp;"e:yact/1000"</f>
        <v>ELNUCoNTBwNIwInv = Ieje:inv*Ieje:yact/1000</v>
      </c>
      <c r="F38" t="str">
        <f>$A38&amp;"NCp = "&amp;VLOOKUP(MID($A38,11,3),energyforms!$A$2:$F$14,4,FALSE)&amp;"e"&amp;VLOOKUP($A38,MSG_New!$B$6:$E$106,4,FALSE)&amp;"e:yact"</f>
        <v>ELNUCoNTBwNIwNCp = Ieje:yact</v>
      </c>
    </row>
    <row r="39" spans="1:7" s="48" customFormat="1" x14ac:dyDescent="0.25">
      <c r="A39" s="48" t="s">
        <v>217</v>
      </c>
      <c r="B39" s="48" t="str">
        <f>$A39&amp;"Out = "&amp;VLOOKUP(MID($A39,11,3),energyforms!$A$2:$F$14,4,FALSE)&amp;"e"&amp;VLOOKUP($A39,MSG_New!$B$6:$E$106,4,FALSE)&amp;"e:out"</f>
        <v>ELNUCoNBUwNIwOut = Ieke:out</v>
      </c>
      <c r="C39" s="48" t="str">
        <f>$A39&amp;"Inp = "&amp;VLOOKUP(MID($A39,11,3),energyforms!$A$2:$F$14,4,FALSE)&amp;"e"&amp;VLOOKUP($A39,MSG_New!$B$6:$E$106,4,FALSE)&amp;"e:inp"</f>
        <v>ELNUCoNBUwNIwInp = Ieke:inp</v>
      </c>
      <c r="D39" s="48" t="str">
        <f>$A39&amp;"Cap = "&amp;VLOOKUP(MID($A39,11,3),energyforms!$A$2:$F$14,4,FALSE)&amp;"e"&amp;VLOOKUP($A39,MSG_New!$B$6:$E$106,4,FALSE)&amp;"e:tic"</f>
        <v>ELNUCoNBUwNIwCap = Ieke:tic</v>
      </c>
      <c r="E39" s="48" t="str">
        <f>$A39&amp;"Inv = "&amp;VLOOKUP(RIGHT($A39,3),energyforms!$A$2:$F$14,4,FALSE)&amp;"e"&amp;VLOOKUP($A39,MSG_New!$B$6:$E$106,4,FALSE)&amp;"e:inv*"&amp;VLOOKUP(RIGHT($A39,3),energyforms!$A$2:$F$14,4,FALSE)&amp;"e"&amp;VLOOKUP($A39,MSG_New!$B$6:$E$106,4,FALSE)&amp;"e:yact/1000"</f>
        <v>ELNUCoNBUwNIwInv = Ieke:inv*Ieke:yact/1000</v>
      </c>
      <c r="F39" s="48" t="str">
        <f>$A39&amp;"NCp = "&amp;VLOOKUP(MID($A39,11,3),energyforms!$A$2:$F$14,4,FALSE)&amp;"e"&amp;VLOOKUP($A39,MSG_New!$B$6:$E$106,4,FALSE)&amp;"e:yact"</f>
        <v>ELNUCoNBUwNIwNCp = Ieke:yact</v>
      </c>
    </row>
    <row r="40" spans="1:7" x14ac:dyDescent="0.25">
      <c r="A40" t="s">
        <v>248</v>
      </c>
      <c r="B40" t="str">
        <f>$A40&amp;"Out = "&amp;VLOOKUP(RIGHT($A40,3),energyforms!$A$2:$F$14,4,FALSE)&amp;"e"&amp;VLOOKUP($A40,MSG_New!$B$6:$E$106,4,FALSE)&amp;"e:out"</f>
        <v>ELNChubGHwBUwOut = Aeje:out</v>
      </c>
      <c r="C40" t="str">
        <f>$A40&amp;"Inp = "&amp;VLOOKUP(RIGHT($A40,3),energyforms!$A$2:$F$14,4,FALSE)&amp;"e"&amp;VLOOKUP($A40,MSG_New!$B$6:$E$106,4,FALSE)&amp;"e:inp"</f>
        <v>ELNChubGHwBUwInp = Aeje:inp</v>
      </c>
      <c r="D40" t="str">
        <f>$A40&amp;"Cap = "&amp;VLOOKUP(RIGHT($A40,3),energyforms!$A$2:$F$14,4,FALSE)&amp;"e"&amp;VLOOKUP($A40,MSG_New!$B$6:$E$106,4,FALSE)&amp;"e:tic"</f>
        <v>ELNChubGHwBUwCap = Aeje:tic</v>
      </c>
      <c r="E40" t="str">
        <f>$A40&amp;"Inv = "&amp;VLOOKUP(RIGHT($A40,3),energyforms!$A$2:$F$14,4,FALSE)&amp;"e"&amp;VLOOKUP($A40,MSG_New!$B$6:$E$106,4,FALSE)&amp;"e:inv*"&amp;VLOOKUP(RIGHT($A40,3),energyforms!$A$2:$F$14,4,FALSE)&amp;"e"&amp;VLOOKUP($A40,MSG_New!$B$6:$E$106,4,FALSE)&amp;"e:yact/1000"</f>
        <v>ELNChubGHwBUwInv = Aeje:inv*Aeje:yact/1000</v>
      </c>
      <c r="F40" t="str">
        <f>$A40&amp;"NCp = "&amp;VLOOKUP(RIGHT($A40,3),energyforms!$A$2:$F$14,4,FALSE)&amp;"e"&amp;VLOOKUP($A40,MSG_New!$B$6:$E$106,4,FALSE)&amp;"e:yact"</f>
        <v>ELNChubGHwBUwNCp = Aeje:yact</v>
      </c>
      <c r="G40" t="str">
        <f t="shared" ref="G40:G43" si="3">F40</f>
        <v>ELNChubGHwBUwNCp = Aeje:yact</v>
      </c>
    </row>
    <row r="41" spans="1:7" x14ac:dyDescent="0.25">
      <c r="A41" t="s">
        <v>249</v>
      </c>
      <c r="B41" t="str">
        <f>$A41&amp;"Out = "&amp;VLOOKUP(RIGHT($A41,3),energyforms!$A$2:$F$14,4,FALSE)&amp;"e"&amp;VLOOKUP($A41,MSG_New!$B$6:$E$106,4,FALSE)&amp;"e:out"</f>
        <v>ELNChubBUwMAwOut = Heje:out</v>
      </c>
      <c r="C41" t="str">
        <f>$A41&amp;"Inp = "&amp;VLOOKUP(RIGHT($A41,3),energyforms!$A$2:$F$14,4,FALSE)&amp;"e"&amp;VLOOKUP($A41,MSG_New!$B$6:$E$106,4,FALSE)&amp;"e:inp"</f>
        <v>ELNChubBUwMAwInp = Heje:inp</v>
      </c>
      <c r="D41" t="str">
        <f>$A41&amp;"Cap = "&amp;VLOOKUP(RIGHT($A41,3),energyforms!$A$2:$F$14,4,FALSE)&amp;"e"&amp;VLOOKUP($A41,MSG_New!$B$6:$E$106,4,FALSE)&amp;"e:tic"</f>
        <v>ELNChubBUwMAwCap = Heje:tic</v>
      </c>
      <c r="E41" t="str">
        <f>$A41&amp;"Inv = "&amp;VLOOKUP(RIGHT($A41,3),energyforms!$A$2:$F$14,4,FALSE)&amp;"e"&amp;VLOOKUP($A41,MSG_New!$B$6:$E$106,4,FALSE)&amp;"e:inv*"&amp;VLOOKUP(RIGHT($A41,3),energyforms!$A$2:$F$14,4,FALSE)&amp;"e"&amp;VLOOKUP($A41,MSG_New!$B$6:$E$106,4,FALSE)&amp;"e:yact/1000"</f>
        <v>ELNChubBUwMAwInv = Heje:inv*Heje:yact/1000</v>
      </c>
      <c r="F41" t="str">
        <f>$A41&amp;"NCp = "&amp;VLOOKUP(RIGHT($A41,3),energyforms!$A$2:$F$14,4,FALSE)&amp;"e"&amp;VLOOKUP($A41,MSG_New!$B$6:$E$106,4,FALSE)&amp;"e:yact"</f>
        <v>ELNChubBUwMAwNCp = Heje:yact</v>
      </c>
      <c r="G41" t="str">
        <f t="shared" si="3"/>
        <v>ELNChubBUwMAwNCp = Heje:yact</v>
      </c>
    </row>
    <row r="42" spans="1:7" x14ac:dyDescent="0.25">
      <c r="A42" t="s">
        <v>250</v>
      </c>
      <c r="B42" t="str">
        <f>$A42&amp;"Out = "&amp;VLOOKUP(RIGHT($A42,3),energyforms!$A$2:$F$14,4,FALSE)&amp;"e"&amp;VLOOKUP($A42,MSG_New!$B$6:$E$106,4,FALSE)&amp;"e:out"</f>
        <v>ELNChubMAwCIwOut = Beke:out</v>
      </c>
      <c r="C42" t="str">
        <f>$A42&amp;"Inp = "&amp;VLOOKUP(RIGHT($A42,3),energyforms!$A$2:$F$14,4,FALSE)&amp;"e"&amp;VLOOKUP($A42,MSG_New!$B$6:$E$106,4,FALSE)&amp;"e:inp"</f>
        <v>ELNChubMAwCIwInp = Beke:inp</v>
      </c>
      <c r="D42" t="str">
        <f>$A42&amp;"Cap = "&amp;VLOOKUP(RIGHT($A42,3),energyforms!$A$2:$F$14,4,FALSE)&amp;"e"&amp;VLOOKUP($A42,MSG_New!$B$6:$E$106,4,FALSE)&amp;"e:tic"</f>
        <v>ELNChubMAwCIwCap = Beke:tic</v>
      </c>
      <c r="E42" t="str">
        <f>$A42&amp;"Inv = "&amp;VLOOKUP(RIGHT($A42,3),energyforms!$A$2:$F$14,4,FALSE)&amp;"e"&amp;VLOOKUP($A42,MSG_New!$B$6:$E$106,4,FALSE)&amp;"e:inv*"&amp;VLOOKUP(RIGHT($A42,3),energyforms!$A$2:$F$14,4,FALSE)&amp;"e"&amp;VLOOKUP($A42,MSG_New!$B$6:$E$106,4,FALSE)&amp;"e:yact/1000"</f>
        <v>ELNChubMAwCIwInv = Beke:inv*Beke:yact/1000</v>
      </c>
      <c r="F42" t="str">
        <f>$A42&amp;"NCp = "&amp;VLOOKUP(RIGHT($A42,3),energyforms!$A$2:$F$14,4,FALSE)&amp;"e"&amp;VLOOKUP($A42,MSG_New!$B$6:$E$106,4,FALSE)&amp;"e:yact"</f>
        <v>ELNChubMAwCIwNCp = Beke:yact</v>
      </c>
      <c r="G42" t="str">
        <f t="shared" si="3"/>
        <v>ELNChubMAwCIwNCp = Beke:yact</v>
      </c>
    </row>
    <row r="43" spans="1:7" x14ac:dyDescent="0.25">
      <c r="A43" t="s">
        <v>218</v>
      </c>
      <c r="B43" t="str">
        <f>$A43&amp;"Out = "&amp;VLOOKUP(RIGHT($A43,3),energyforms!$A$2:$F$14,4,FALSE)&amp;"e"&amp;VLOOKUP($A43,MSG_New!$B$6:$E$106,4,FALSE)&amp;"e:out"</f>
        <v>ELNUhubGUwMAwOut = Heoe:out</v>
      </c>
      <c r="C43" t="str">
        <f>$A43&amp;"Inp = "&amp;VLOOKUP(RIGHT($A43,3),energyforms!$A$2:$F$14,4,FALSE)&amp;"e"&amp;VLOOKUP($A43,MSG_New!$B$6:$E$106,4,FALSE)&amp;"e:inp"</f>
        <v>ELNUhubGUwMAwInp = Heoe:inp</v>
      </c>
      <c r="D43" t="str">
        <f>$A43&amp;"Cap = "&amp;VLOOKUP(RIGHT($A43,3),energyforms!$A$2:$F$14,4,FALSE)&amp;"e"&amp;VLOOKUP($A43,MSG_New!$B$6:$E$106,4,FALSE)&amp;"e:tic"</f>
        <v>ELNUhubGUwMAwCap = Heoe:tic</v>
      </c>
      <c r="E43" t="str">
        <f>$A43&amp;"Inv = "&amp;VLOOKUP(RIGHT($A43,3),energyforms!$A$2:$F$14,4,FALSE)&amp;"e"&amp;VLOOKUP($A43,MSG_New!$B$6:$E$106,4,FALSE)&amp;"e:inv*"&amp;VLOOKUP(RIGHT($A43,3),energyforms!$A$2:$F$14,4,FALSE)&amp;"e"&amp;VLOOKUP($A43,MSG_New!$B$6:$E$106,4,FALSE)&amp;"e:yact/1000"</f>
        <v>ELNUhubGUwMAwInv = Heoe:inv*Heoe:yact/1000</v>
      </c>
      <c r="F43" t="str">
        <f>$A43&amp;"NCp = "&amp;VLOOKUP(RIGHT($A43,3),energyforms!$A$2:$F$14,4,FALSE)&amp;"e"&amp;VLOOKUP($A43,MSG_New!$B$6:$E$106,4,FALSE)&amp;"e:yact"</f>
        <v>ELNUhubGUwMAwNCp = Heoe:yact</v>
      </c>
      <c r="G43" t="str">
        <f t="shared" si="3"/>
        <v>ELNUhubGUwMAwNCp = Heoe:yact</v>
      </c>
    </row>
    <row r="44" spans="1:7" x14ac:dyDescent="0.25">
      <c r="A44" t="s">
        <v>251</v>
      </c>
      <c r="B44" t="str">
        <f>$A44&amp;"Out = "&amp;VLOOKUP(RIGHT($A44,3),energyforms!$A$2:$F$14,4,FALSE)&amp;"e"&amp;VLOOKUP($A44,MSG_New!$B$6:$E$106,4,FALSE)&amp;"e:out"</f>
        <v>ELNChubBUwGHwOut = Deke:out</v>
      </c>
      <c r="C44" t="str">
        <f>$A44&amp;"Inp = "&amp;VLOOKUP(RIGHT($A44,3),energyforms!$A$2:$F$14,4,FALSE)&amp;"e"&amp;VLOOKUP($A44,MSG_New!$B$6:$E$106,4,FALSE)&amp;"e:inp"</f>
        <v>ELNChubBUwGHwInp = Deke:inp</v>
      </c>
      <c r="D44" t="str">
        <f>$A44&amp;"Cap = "&amp;VLOOKUP(RIGHT($A44,3),energyforms!$A$2:$F$14,4,FALSE)&amp;"e"&amp;VLOOKUP($A44,MSG_New!$B$6:$E$106,4,FALSE)&amp;"e:tic"</f>
        <v>ELNChubBUwGHwCap = Deke:tic</v>
      </c>
      <c r="E44" t="str">
        <f>$A44&amp;"Inv = "&amp;VLOOKUP(RIGHT($A44,3),energyforms!$A$2:$F$14,4,FALSE)&amp;"e"&amp;VLOOKUP($A44,MSG_New!$B$6:$E$106,4,FALSE)&amp;"e:inv*"&amp;VLOOKUP(RIGHT($A44,3),energyforms!$A$2:$F$14,4,FALSE)&amp;"e"&amp;VLOOKUP($A44,MSG_New!$B$6:$E$106,4,FALSE)&amp;"e:yact/1000"</f>
        <v>ELNChubBUwGHwInv = Deke:inv*Deke:yact/1000</v>
      </c>
      <c r="F44" t="str">
        <f>$A44&amp;"NCp = "&amp;VLOOKUP(RIGHT($A44,3),energyforms!$A$2:$F$14,4,FALSE)&amp;"e"&amp;VLOOKUP($A44,MSG_New!$B$6:$E$106,4,FALSE)&amp;"e:yact"</f>
        <v>ELNChubBUwGHwNCp = Deke:yact</v>
      </c>
    </row>
    <row r="45" spans="1:7" x14ac:dyDescent="0.25">
      <c r="A45" t="s">
        <v>252</v>
      </c>
      <c r="B45" t="str">
        <f>$A45&amp;"Out = "&amp;VLOOKUP(RIGHT($A45,3),energyforms!$A$2:$F$14,4,FALSE)&amp;"e"&amp;VLOOKUP($A45,MSG_New!$B$6:$E$106,4,FALSE)&amp;"e:out"</f>
        <v>ELNChubMAwBUwOut = Aeke:out</v>
      </c>
      <c r="C45" t="str">
        <f>$A45&amp;"Inp = "&amp;VLOOKUP(RIGHT($A45,3),energyforms!$A$2:$F$14,4,FALSE)&amp;"e"&amp;VLOOKUP($A45,MSG_New!$B$6:$E$106,4,FALSE)&amp;"e:inp"</f>
        <v>ELNChubMAwBUwInp = Aeke:inp</v>
      </c>
      <c r="D45" t="str">
        <f>$A45&amp;"Cap = "&amp;VLOOKUP(RIGHT($A45,3),energyforms!$A$2:$F$14,4,FALSE)&amp;"e"&amp;VLOOKUP($A45,MSG_New!$B$6:$E$106,4,FALSE)&amp;"e:tic"</f>
        <v>ELNChubMAwBUwCap = Aeke:tic</v>
      </c>
      <c r="E45" t="str">
        <f>$A45&amp;"Inv = "&amp;VLOOKUP(RIGHT($A45,3),energyforms!$A$2:$F$14,4,FALSE)&amp;"e"&amp;VLOOKUP($A45,MSG_New!$B$6:$E$106,4,FALSE)&amp;"e:inv*"&amp;VLOOKUP(RIGHT($A45,3),energyforms!$A$2:$F$14,4,FALSE)&amp;"e"&amp;VLOOKUP($A45,MSG_New!$B$6:$E$106,4,FALSE)&amp;"e:yact/1000"</f>
        <v>ELNChubMAwBUwInv = Aeke:inv*Aeke:yact/1000</v>
      </c>
      <c r="F45" t="str">
        <f>$A45&amp;"NCp = "&amp;VLOOKUP(RIGHT($A45,3),energyforms!$A$2:$F$14,4,FALSE)&amp;"e"&amp;VLOOKUP($A45,MSG_New!$B$6:$E$106,4,FALSE)&amp;"e:yact"</f>
        <v>ELNChubMAwBUwNCp = Aeke:yact</v>
      </c>
    </row>
    <row r="46" spans="1:7" x14ac:dyDescent="0.25">
      <c r="A46" t="s">
        <v>253</v>
      </c>
      <c r="B46" t="str">
        <f>$A46&amp;"Out = "&amp;VLOOKUP(RIGHT($A46,3),energyforms!$A$2:$F$14,4,FALSE)&amp;"e"&amp;VLOOKUP($A46,MSG_New!$B$6:$E$106,4,FALSE)&amp;"e:out"</f>
        <v>ELNChubCIwMAwOut = Heke:out</v>
      </c>
      <c r="C46" t="str">
        <f>$A46&amp;"Inp = "&amp;VLOOKUP(RIGHT($A46,3),energyforms!$A$2:$F$14,4,FALSE)&amp;"e"&amp;VLOOKUP($A46,MSG_New!$B$6:$E$106,4,FALSE)&amp;"e:inp"</f>
        <v>ELNChubCIwMAwInp = Heke:inp</v>
      </c>
      <c r="D46" t="str">
        <f>$A46&amp;"Cap = "&amp;VLOOKUP(RIGHT($A46,3),energyforms!$A$2:$F$14,4,FALSE)&amp;"e"&amp;VLOOKUP($A46,MSG_New!$B$6:$E$106,4,FALSE)&amp;"e:tic"</f>
        <v>ELNChubCIwMAwCap = Heke:tic</v>
      </c>
      <c r="E46" t="str">
        <f>$A46&amp;"Inv = "&amp;VLOOKUP(RIGHT($A46,3),energyforms!$A$2:$F$14,4,FALSE)&amp;"e"&amp;VLOOKUP($A46,MSG_New!$B$6:$E$106,4,FALSE)&amp;"e:inv*"&amp;VLOOKUP(RIGHT($A46,3),energyforms!$A$2:$F$14,4,FALSE)&amp;"e"&amp;VLOOKUP($A46,MSG_New!$B$6:$E$106,4,FALSE)&amp;"e:yact/1000"</f>
        <v>ELNChubCIwMAwInv = Heke:inv*Heke:yact/1000</v>
      </c>
      <c r="F46" t="str">
        <f>$A46&amp;"NCp = "&amp;VLOOKUP(RIGHT($A46,3),energyforms!$A$2:$F$14,4,FALSE)&amp;"e"&amp;VLOOKUP($A46,MSG_New!$B$6:$E$106,4,FALSE)&amp;"e:yact"</f>
        <v>ELNChubCIwMAwNCp = Heke:yact</v>
      </c>
    </row>
    <row r="47" spans="1:7" s="48" customFormat="1" x14ac:dyDescent="0.25">
      <c r="A47" s="48" t="s">
        <v>219</v>
      </c>
      <c r="B47" s="48" t="str">
        <f>$A47&amp;"Out = "&amp;VLOOKUP(RIGHT($A47,3),energyforms!$A$2:$F$14,4,FALSE)&amp;"e"&amp;VLOOKUP($A47,MSG_New!$B$6:$E$106,4,FALSE)&amp;"e:out"</f>
        <v>ELNUhubMAwGUwOut = Eepe:out</v>
      </c>
      <c r="C47" s="48" t="str">
        <f>$A47&amp;"Inp = "&amp;VLOOKUP(RIGHT($A47,3),energyforms!$A$2:$F$14,4,FALSE)&amp;"e"&amp;VLOOKUP($A47,MSG_New!$B$6:$E$106,4,FALSE)&amp;"e:inp"</f>
        <v>ELNUhubMAwGUwInp = Eepe:inp</v>
      </c>
      <c r="D47" s="48" t="str">
        <f>$A47&amp;"Cap = "&amp;VLOOKUP(RIGHT($A47,3),energyforms!$A$2:$F$14,4,FALSE)&amp;"e"&amp;VLOOKUP($A47,MSG_New!$B$6:$E$106,4,FALSE)&amp;"e:tic"</f>
        <v>ELNUhubMAwGUwCap = Eepe:tic</v>
      </c>
      <c r="E47" s="48" t="str">
        <f>$A47&amp;"Inv = "&amp;VLOOKUP(RIGHT($A47,3),energyforms!$A$2:$F$14,4,FALSE)&amp;"e"&amp;VLOOKUP($A47,MSG_New!$B$6:$E$106,4,FALSE)&amp;"e:inv*"&amp;VLOOKUP(RIGHT($A47,3),energyforms!$A$2:$F$14,4,FALSE)&amp;"e"&amp;VLOOKUP($A47,MSG_New!$B$6:$E$106,4,FALSE)&amp;"e:yact/1000"</f>
        <v>ELNUhubMAwGUwInv = Eepe:inv*Eepe:yact/1000</v>
      </c>
      <c r="F47" s="48" t="str">
        <f>$A47&amp;"NCp = "&amp;VLOOKUP(RIGHT($A47,3),energyforms!$A$2:$F$14,4,FALSE)&amp;"e"&amp;VLOOKUP($A47,MSG_New!$B$6:$E$106,4,FALSE)&amp;"e:yact"</f>
        <v>ELNUhubMAwGUwNCp = Eepe:yact</v>
      </c>
    </row>
    <row r="48" spans="1:7" x14ac:dyDescent="0.25">
      <c r="A48" t="s">
        <v>220</v>
      </c>
      <c r="B48" t="str">
        <f>$A48&amp;"Out = "&amp;VLOOKUP(RIGHT($A48,3),energyforms!$A$2:$F$14,4,FALSE)&amp;"e"&amp;VLOOKUP($A48,MSG_New!$B$6:$E$106,4,FALSE)&amp;"e:out"</f>
        <v>ELNUDmeNGwTBwOut = Meke:out</v>
      </c>
      <c r="C48" t="str">
        <f>$A48&amp;"Inp = "&amp;VLOOKUP(MID($A48,11,3),energyforms!$A$2:$F$14,4,FALSE)&amp;"e"&amp;VLOOKUP($A48,MSG_New!$B$6:$E$106,4,FALSE)&amp;"e:inp"</f>
        <v>ELNUDmeNGwTBwInp = Meke:inp</v>
      </c>
      <c r="D48" t="str">
        <f>$A48&amp;"Cap = "&amp;VLOOKUP(MID($A48,11,3),energyforms!$A$2:$F$14,4,FALSE)&amp;"e"&amp;VLOOKUP($A48,MSG_New!$B$6:$E$106,4,FALSE)&amp;"e:tic"</f>
        <v>ELNUDmeNGwTBwCap = Meke:tic</v>
      </c>
      <c r="E48" t="str">
        <f>$A48&amp;"Inv = "&amp;VLOOKUP(RIGHT($A48,3),energyforms!$A$2:$F$14,4,FALSE)&amp;"e"&amp;VLOOKUP($A48,MSG_New!$B$6:$E$106,4,FALSE)&amp;"e:inv*"&amp;VLOOKUP(RIGHT($A48,3),energyforms!$A$2:$F$14,4,FALSE)&amp;"e"&amp;VLOOKUP($A48,MSG_New!$B$6:$E$106,4,FALSE)&amp;"e:yact/1000"</f>
        <v>ELNUDmeNGwTBwInv = Meke:inv*Meke:yact/1000</v>
      </c>
      <c r="F48" t="str">
        <f>$A48&amp;"NCp = "&amp;VLOOKUP(MID($A48,11,3),energyforms!$A$2:$F$14,4,FALSE)&amp;"e"&amp;VLOOKUP($A48,MSG_New!$B$6:$E$106,4,FALSE)&amp;"e:yact"</f>
        <v>ELNUDmeNGwTBwNCp = Meke:yact</v>
      </c>
      <c r="G48" t="str">
        <f t="shared" ref="G48:G49" si="4">F48</f>
        <v>ELNUDmeNGwTBwNCp = Meke:yact</v>
      </c>
    </row>
    <row r="49" spans="1:7" x14ac:dyDescent="0.25">
      <c r="A49" t="s">
        <v>221</v>
      </c>
      <c r="B49" t="str">
        <f>$A49&amp;"Out = "&amp;VLOOKUP(MID($A49,11,3),energyforms!$A$2:$F$14,4,FALSE)&amp;"e"&amp;VLOOKUP($A49,MSG_New!$B$6:$E$106,4,FALSE)&amp;"e:out"</f>
        <v>ELNUDMeTBwGHwOut = Dele:out</v>
      </c>
      <c r="C49" t="str">
        <f>$A49&amp;"Inp = "&amp;VLOOKUP(MID($A49,11,3),energyforms!$A$2:$F$14,4,FALSE)&amp;"e"&amp;VLOOKUP($A49,MSG_New!$B$6:$E$106,4,FALSE)&amp;"e:inp"</f>
        <v>ELNUDMeTBwGHwInp = Dele:inp</v>
      </c>
      <c r="D49" t="str">
        <f>$A49&amp;"Cap = "&amp;VLOOKUP(MID($A49,11,3),energyforms!$A$2:$F$14,4,FALSE)&amp;"e"&amp;VLOOKUP($A49,MSG_New!$B$6:$E$106,4,FALSE)&amp;"e:tic"</f>
        <v>ELNUDMeTBwGHwCap = Dele:tic</v>
      </c>
      <c r="E49" t="str">
        <f>$A49&amp;"Inv = "&amp;VLOOKUP(RIGHT($A49,3),energyforms!$A$2:$F$14,4,FALSE)&amp;"e"&amp;VLOOKUP($A49,MSG_New!$B$6:$E$106,4,FALSE)&amp;"e:inv*"&amp;VLOOKUP(RIGHT($A49,3),energyforms!$A$2:$F$14,4,FALSE)&amp;"e"&amp;VLOOKUP($A49,MSG_New!$B$6:$E$106,4,FALSE)&amp;"e:yact/1000"</f>
        <v>ELNUDMeTBwGHwInv = Dele:inv*Dele:yact/1000</v>
      </c>
      <c r="F49" t="str">
        <f>$A49&amp;"NCp = "&amp;VLOOKUP(MID($A49,11,3),energyforms!$A$2:$F$14,4,FALSE)&amp;"e"&amp;VLOOKUP($A49,MSG_New!$B$6:$E$106,4,FALSE)&amp;"e:yact"</f>
        <v>ELNUDMeTBwGHwNCp = Dele:yact</v>
      </c>
      <c r="G49" t="str">
        <f t="shared" si="4"/>
        <v>ELNUDMeTBwGHwNCp = Dele:yact</v>
      </c>
    </row>
    <row r="50" spans="1:7" x14ac:dyDescent="0.25">
      <c r="A50" t="s">
        <v>222</v>
      </c>
      <c r="B50" t="str">
        <f>$A50&amp;"Out = "&amp;VLOOKUP(RIGHT($A50,3),energyforms!$A$2:$F$14,4,FALSE)&amp;"e"&amp;VLOOKUP($A50,MSG_New!$B$6:$E$106,4,FALSE)&amp;"e:out"</f>
        <v>ELNUDMeTBwNGwOut = Jeme:out</v>
      </c>
      <c r="C50" t="str">
        <f>$A50&amp;"Inp = "&amp;VLOOKUP(RIGHT($A50,3),energyforms!$A$2:$F$14,4,FALSE)&amp;"e"&amp;VLOOKUP($A50,MSG_New!$B$6:$E$106,4,FALSE)&amp;"e:inp"</f>
        <v>ELNUDMeTBwNGwInp = Jeme:inp</v>
      </c>
      <c r="D50" t="str">
        <f>$A50&amp;"Cap = "&amp;VLOOKUP(RIGHT($A50,3),energyforms!$A$2:$F$14,4,FALSE)&amp;"e"&amp;VLOOKUP($A50,MSG_New!$B$6:$E$106,4,FALSE)&amp;"e:tic"</f>
        <v>ELNUDMeTBwNGwCap = Jeme:tic</v>
      </c>
      <c r="E50" t="str">
        <f>$A50&amp;"Inv = "&amp;VLOOKUP(RIGHT($A50,3),energyforms!$A$2:$F$14,4,FALSE)&amp;"e"&amp;VLOOKUP($A50,MSG_New!$B$6:$E$106,4,FALSE)&amp;"e:inv*"&amp;VLOOKUP(RIGHT($A50,3),energyforms!$A$2:$F$14,4,FALSE)&amp;"e"&amp;VLOOKUP($A50,MSG_New!$B$6:$E$106,4,FALSE)&amp;"e:yact/1000"</f>
        <v>ELNUDMeTBwNGwInv = Jeme:inv*Jeme:yact/1000</v>
      </c>
      <c r="F50" t="str">
        <f>$A50&amp;"NCp = "&amp;VLOOKUP(RIGHT($A50,3),energyforms!$A$2:$F$14,4,FALSE)&amp;"e"&amp;VLOOKUP($A50,MSG_New!$B$6:$E$106,4,FALSE)&amp;"e:yact"</f>
        <v>ELNUDMeTBwNGwNCp = Jeme:yact</v>
      </c>
    </row>
    <row r="51" spans="1:7" s="48" customFormat="1" x14ac:dyDescent="0.25">
      <c r="A51" s="48" t="s">
        <v>223</v>
      </c>
      <c r="B51" s="48" t="str">
        <f>$A51&amp;"Out = "&amp;VLOOKUP(RIGHT($A51,3),energyforms!$A$2:$F$14,4,FALSE)&amp;"e"&amp;VLOOKUP($A51,MSG_New!$B$6:$E$106,4,FALSE)&amp;"e:out"</f>
        <v>ELNUDMeGHwTBwOut = Mene:out</v>
      </c>
      <c r="C51" s="48" t="str">
        <f>$A51&amp;"Inp = "&amp;VLOOKUP(RIGHT($A51,3),energyforms!$A$2:$F$14,4,FALSE)&amp;"e"&amp;VLOOKUP($A51,MSG_New!$B$6:$E$106,4,FALSE)&amp;"e:inp"</f>
        <v>ELNUDMeGHwTBwInp = Mene:inp</v>
      </c>
      <c r="D51" s="48" t="str">
        <f>$A51&amp;"Cap = "&amp;VLOOKUP(RIGHT($A51,3),energyforms!$A$2:$F$14,4,FALSE)&amp;"e"&amp;VLOOKUP($A51,MSG_New!$B$6:$E$106,4,FALSE)&amp;"e:tic"</f>
        <v>ELNUDMeGHwTBwCap = Mene:tic</v>
      </c>
      <c r="E51" s="48" t="str">
        <f>$A51&amp;"Inv = "&amp;VLOOKUP(RIGHT($A51,3),energyforms!$A$2:$F$14,4,FALSE)&amp;"e"&amp;VLOOKUP($A51,MSG_New!$B$6:$E$106,4,FALSE)&amp;"e:inv*"&amp;VLOOKUP(RIGHT($A51,3),energyforms!$A$2:$F$14,4,FALSE)&amp;"e"&amp;VLOOKUP($A51,MSG_New!$B$6:$E$106,4,FALSE)&amp;"e:yact/1000"</f>
        <v>ELNUDMeGHwTBwInv = Mene:inv*Mene:yact/1000</v>
      </c>
      <c r="F51" s="48" t="str">
        <f>$A51&amp;"NCp = "&amp;VLOOKUP(RIGHT($A51,3),energyforms!$A$2:$F$14,4,FALSE)&amp;"e"&amp;VLOOKUP($A51,MSG_New!$B$6:$E$106,4,FALSE)&amp;"e:yact"</f>
        <v>ELNUDMeGHwTBwNCp = Mene:yact</v>
      </c>
    </row>
    <row r="52" spans="1:7" x14ac:dyDescent="0.25">
      <c r="A52" t="s">
        <v>224</v>
      </c>
      <c r="B52" t="str">
        <f>$A52&amp;"Out = "&amp;VLOOKUP(RIGHT($A52,3),energyforms!$A$2:$F$14,4,FALSE)&amp;"e"&amp;VLOOKUP($A52,MSG_New!$B$6:$E$106,4,FALSE)&amp;"e:out"</f>
        <v>ELNUOMVGMAwSEwOut = Keke:out</v>
      </c>
      <c r="C52" t="str">
        <f>$A52&amp;"Inp = "&amp;VLOOKUP(RIGHT($A52,3),energyforms!$A$2:$F$14,4,FALSE)&amp;"e"&amp;VLOOKUP($A52,MSG_New!$B$6:$E$106,4,FALSE)&amp;"e:inp"</f>
        <v>ELNUOMVGMAwSEwInp = Keke:inp</v>
      </c>
      <c r="D52" t="str">
        <f>$A52&amp;"Cap = "&amp;VLOOKUP(RIGHT($A52,3),energyforms!$A$2:$F$14,4,FALSE)&amp;"e"&amp;VLOOKUP($A52,MSG_New!$B$6:$E$106,4,FALSE)&amp;"e:tic"</f>
        <v>ELNUOMVGMAwSEwCap = Keke:tic</v>
      </c>
      <c r="E52" t="str">
        <f>$A52&amp;"Inv = "&amp;VLOOKUP(RIGHT($A52,3),energyforms!$A$2:$F$14,4,FALSE)&amp;"e"&amp;VLOOKUP($A52,MSG_New!$B$6:$E$106,4,FALSE)&amp;"e:inv*"&amp;VLOOKUP(RIGHT($A52,3),energyforms!$A$2:$F$14,4,FALSE)&amp;"e"&amp;VLOOKUP($A52,MSG_New!$B$6:$E$106,4,FALSE)&amp;"e:yact/1000"</f>
        <v>ELNUOMVGMAwSEwInv = Keke:inv*Keke:yact/1000</v>
      </c>
      <c r="F52" t="str">
        <f>$A52&amp;"NCp = "&amp;VLOOKUP(RIGHT($A52,3),energyforms!$A$2:$F$14,4,FALSE)&amp;"e"&amp;VLOOKUP($A52,MSG_New!$B$6:$E$106,4,FALSE)&amp;"e:yact"</f>
        <v>ELNUOMVGMAwSEwNCp = Keke:yact</v>
      </c>
      <c r="G52" t="str">
        <f>F52</f>
        <v>ELNUOMVGMAwSEwNCp = Keke:yact</v>
      </c>
    </row>
    <row r="53" spans="1:7" s="48" customFormat="1" x14ac:dyDescent="0.25">
      <c r="A53" s="48" t="s">
        <v>225</v>
      </c>
      <c r="B53" s="48" t="str">
        <f>$A53&amp;"Out = "&amp;VLOOKUP(RIGHT($A53,3),energyforms!$A$2:$F$14,4,FALSE)&amp;"e"&amp;VLOOKUP($A53,MSG_New!$B$6:$E$106,4,FALSE)&amp;"e:out"</f>
        <v>ELNUOMVSSEwMAwOut = Hele:out</v>
      </c>
      <c r="C53" s="48" t="str">
        <f>$A53&amp;"Inp = "&amp;VLOOKUP(RIGHT($A53,3),energyforms!$A$2:$F$14,4,FALSE)&amp;"e"&amp;VLOOKUP($A53,MSG_New!$B$6:$E$106,4,FALSE)&amp;"e:inp"</f>
        <v>ELNUOMVSSEwMAwInp = Hele:inp</v>
      </c>
      <c r="D53" s="48" t="str">
        <f>$A53&amp;"Cap = "&amp;VLOOKUP(RIGHT($A53,3),energyforms!$A$2:$F$14,4,FALSE)&amp;"e"&amp;VLOOKUP($A53,MSG_New!$B$6:$E$106,4,FALSE)&amp;"e:tic"</f>
        <v>ELNUOMVSSEwMAwCap = Hele:tic</v>
      </c>
      <c r="E53" s="48" t="str">
        <f>$A53&amp;"Inv = "&amp;VLOOKUP(RIGHT($A53,3),energyforms!$A$2:$F$14,4,FALSE)&amp;"e"&amp;VLOOKUP($A53,MSG_New!$B$6:$E$106,4,FALSE)&amp;"e:inv*"&amp;VLOOKUP(RIGHT($A53,3),energyforms!$A$2:$F$14,4,FALSE)&amp;"e"&amp;VLOOKUP($A53,MSG_New!$B$6:$E$106,4,FALSE)&amp;"e:yact/1000"</f>
        <v>ELNUOMVSSEwMAwInv = Hele:inv*Hele:yact/1000</v>
      </c>
      <c r="F53" s="48" t="str">
        <f>$A53&amp;"NCp = "&amp;VLOOKUP(RIGHT($A53,3),energyforms!$A$2:$F$14,4,FALSE)&amp;"e"&amp;VLOOKUP($A53,MSG_New!$B$6:$E$106,4,FALSE)&amp;"e:yact"</f>
        <v>ELNUOMVSSEwMAwNCp = Hele:yact</v>
      </c>
    </row>
    <row r="54" spans="1:7" s="2" customFormat="1" x14ac:dyDescent="0.25">
      <c r="A54" s="2" t="s">
        <v>254</v>
      </c>
      <c r="B54" t="str">
        <f>$A54&amp;"Out = "&amp;VLOOKUP(RIGHT($A54,3),energyforms!$A$2:$F$14,4,FALSE)&amp;"e"&amp;VLOOKUP($A54,MSG_New!$B$6:$E$140,4,FALSE)&amp;"e:out"</f>
        <v>ELNULICILIwCIwOut = Beme:out</v>
      </c>
      <c r="C54" t="str">
        <f>$A54&amp;"Inp = "&amp;VLOOKUP(RIGHT($A54,3),energyforms!$A$2:$F$14,4,FALSE)&amp;"e"&amp;VLOOKUP($A54,MSG_New!$B$6:$E$140,4,FALSE)&amp;"e:inp"</f>
        <v>ELNULICILIwCIwInp = Beme:inp</v>
      </c>
      <c r="D54" t="str">
        <f>$A54&amp;"Cap = "&amp;VLOOKUP(RIGHT($A54,3),energyforms!$A$2:$F$14,4,FALSE)&amp;"e"&amp;VLOOKUP($A54,MSG_New!$B$6:$E$140,4,FALSE)&amp;"e:tic"</f>
        <v>ELNULICILIwCIwCap = Beme:tic</v>
      </c>
      <c r="E54" t="str">
        <f>$A54&amp;"Inv = "&amp;VLOOKUP(RIGHT($A54,3),energyforms!$A$2:$F$14,4,FALSE)&amp;"e"&amp;VLOOKUP($A54,MSG_New!$B$6:$E$140,4,FALSE)&amp;"e:inv*"&amp;VLOOKUP(RIGHT($A54,3),energyforms!$A$2:$F$14,4,FALSE)&amp;"e"&amp;VLOOKUP($A54,MSG_New!$B$6:$E$140,4,FALSE)&amp;"e:yact/1000"</f>
        <v>ELNULICILIwCIwInv = Beme:inv*Beme:yact/1000</v>
      </c>
      <c r="F54" t="str">
        <f>$A54&amp;"NCp = "&amp;VLOOKUP(RIGHT($A54,3),energyforms!$A$2:$F$14,4,FALSE)&amp;"e"&amp;VLOOKUP($A54,MSG_New!$B$6:$E$140,4,FALSE)&amp;"e:yact"</f>
        <v>ELNULICILIwCIwNCp = Beme:yact</v>
      </c>
      <c r="G54" t="str">
        <f>F54</f>
        <v>ELNULICILIwCIwNCp = Beme:yact</v>
      </c>
    </row>
    <row r="55" spans="1:7" s="48" customFormat="1" x14ac:dyDescent="0.25">
      <c r="A55" s="48" t="s">
        <v>255</v>
      </c>
      <c r="B55" s="48" t="str">
        <f>$A55&amp;"Out = "&amp;VLOOKUP(RIGHT($A55,3),energyforms!$A$2:$F$14,4,FALSE)&amp;"e"&amp;VLOOKUP($A55,MSG_New!$B$6:$E$140,4,FALSE)&amp;"e:out"</f>
        <v>ELNULICICIwLIwOut = Gene:out</v>
      </c>
      <c r="C55" s="48" t="str">
        <f>$A55&amp;"Inp = "&amp;VLOOKUP(RIGHT($A55,3),energyforms!$A$2:$F$14,4,FALSE)&amp;"e"&amp;VLOOKUP($A55,MSG_New!$B$6:$E$140,4,FALSE)&amp;"e:inp"</f>
        <v>ELNULICICIwLIwInp = Gene:inp</v>
      </c>
      <c r="D55" s="48" t="str">
        <f>$A55&amp;"Cap = "&amp;VLOOKUP(RIGHT($A55,3),energyforms!$A$2:$F$14,4,FALSE)&amp;"e"&amp;VLOOKUP($A55,MSG_New!$B$6:$E$140,4,FALSE)&amp;"e:tic"</f>
        <v>ELNULICICIwLIwCap = Gene:tic</v>
      </c>
      <c r="E55" s="48" t="str">
        <f>$A55&amp;"Inv = "&amp;VLOOKUP(RIGHT($A55,3),energyforms!$A$2:$F$14,4,FALSE)&amp;"e"&amp;VLOOKUP($A55,MSG_New!$B$6:$E$140,4,FALSE)&amp;"e:inv*"&amp;VLOOKUP(RIGHT($A55,3),energyforms!$A$2:$F$14,4,FALSE)&amp;"e"&amp;VLOOKUP($A55,MSG_New!$B$6:$E$140,4,FALSE)&amp;"e:yact/1000"</f>
        <v>ELNULICICIwLIwInv = Gene:inv*Gene:yact/1000</v>
      </c>
      <c r="F55" s="48" t="str">
        <f>$A55&amp;"NCp = "&amp;VLOOKUP(RIGHT($A55,3),energyforms!$A$2:$F$14,4,FALSE)&amp;"e"&amp;VLOOKUP($A55,MSG_New!$B$6:$E$140,4,FALSE)&amp;"e:yact"</f>
        <v>ELNULICICIwLIwNCp = Gene:yact</v>
      </c>
    </row>
    <row r="56" spans="1:7" s="2" customFormat="1" x14ac:dyDescent="0.25">
      <c r="A56" s="2" t="s">
        <v>256</v>
      </c>
      <c r="B56" t="str">
        <f>$A56&amp;"Out = "&amp;VLOOKUP(RIGHT($A56,3),energyforms!$A$2:$F$14,4,FALSE)&amp;"e"&amp;VLOOKUP($A56,MSG_New!$B$6:$E$140,4,FALSE)&amp;"e:out"</f>
        <v>ELNUNGTBNGwTBwOut = Meme:out</v>
      </c>
      <c r="C56" t="str">
        <f>$A56&amp;"Inp = "&amp;VLOOKUP(RIGHT($A56,3),energyforms!$A$2:$F$14,4,FALSE)&amp;"e"&amp;VLOOKUP($A56,MSG_New!$B$6:$E$140,4,FALSE)&amp;"e:inp"</f>
        <v>ELNUNGTBNGwTBwInp = Meme:inp</v>
      </c>
      <c r="D56" t="str">
        <f>$A56&amp;"Cap = "&amp;VLOOKUP(RIGHT($A56,3),energyforms!$A$2:$F$14,4,FALSE)&amp;"e"&amp;VLOOKUP($A56,MSG_New!$B$6:$E$140,4,FALSE)&amp;"e:tic"</f>
        <v>ELNUNGTBNGwTBwCap = Meme:tic</v>
      </c>
      <c r="E56" t="str">
        <f>$A56&amp;"Inv = "&amp;VLOOKUP(RIGHT($A56,3),energyforms!$A$2:$F$14,4,FALSE)&amp;"e"&amp;VLOOKUP($A56,MSG_New!$B$6:$E$140,4,FALSE)&amp;"e:inv*"&amp;VLOOKUP(RIGHT($A56,3),energyforms!$A$2:$F$14,4,FALSE)&amp;"e"&amp;VLOOKUP($A56,MSG_New!$B$6:$E$140,4,FALSE)&amp;"e:yact/1000"</f>
        <v>ELNUNGTBNGwTBwInv = Meme:inv*Meme:yact/1000</v>
      </c>
      <c r="F56" t="str">
        <f>$A56&amp;"NCp = "&amp;VLOOKUP(RIGHT($A56,3),energyforms!$A$2:$F$14,4,FALSE)&amp;"e"&amp;VLOOKUP($A56,MSG_New!$B$6:$E$140,4,FALSE)&amp;"e:yact"</f>
        <v>ELNUNGTBNGwTBwNCp = Meme:yact</v>
      </c>
      <c r="G56" t="str">
        <f>F56</f>
        <v>ELNUNGTBNGwTBwNCp = Meme:yact</v>
      </c>
    </row>
    <row r="57" spans="1:7" s="48" customFormat="1" x14ac:dyDescent="0.25">
      <c r="A57" s="48" t="s">
        <v>257</v>
      </c>
      <c r="B57" s="48" t="str">
        <f>$A57&amp;"Out = "&amp;VLOOKUP(RIGHT($A57,3),energyforms!$A$2:$F$14,4,FALSE)&amp;"e"&amp;VLOOKUP($A57,MSG_New!$B$6:$E$140,4,FALSE)&amp;"e:out"</f>
        <v>ELNUNGTBTBwNGwOut = Jene:out</v>
      </c>
      <c r="C57" s="48" t="str">
        <f>$A57&amp;"Inp = "&amp;VLOOKUP(RIGHT($A57,3),energyforms!$A$2:$F$14,4,FALSE)&amp;"e"&amp;VLOOKUP($A57,MSG_New!$B$6:$E$140,4,FALSE)&amp;"e:inp"</f>
        <v>ELNUNGTBTBwNGwInp = Jene:inp</v>
      </c>
      <c r="D57" s="48" t="str">
        <f>$A57&amp;"Cap = "&amp;VLOOKUP(RIGHT($A57,3),energyforms!$A$2:$F$14,4,FALSE)&amp;"e"&amp;VLOOKUP($A57,MSG_New!$B$6:$E$140,4,FALSE)&amp;"e:tic"</f>
        <v>ELNUNGTBTBwNGwCap = Jene:tic</v>
      </c>
      <c r="E57" s="48" t="str">
        <f>$A57&amp;"Inv = "&amp;VLOOKUP(RIGHT($A57,3),energyforms!$A$2:$F$14,4,FALSE)&amp;"e"&amp;VLOOKUP($A57,MSG_New!$B$6:$E$140,4,FALSE)&amp;"e:inv*"&amp;VLOOKUP(RIGHT($A57,3),energyforms!$A$2:$F$14,4,FALSE)&amp;"e"&amp;VLOOKUP($A57,MSG_New!$B$6:$E$140,4,FALSE)&amp;"e:yact/1000"</f>
        <v>ELNUNGTBTBwNGwInv = Jene:inv*Jene:yact/1000</v>
      </c>
      <c r="F57" s="48" t="str">
        <f>$A57&amp;"NCp = "&amp;VLOOKUP(RIGHT($A57,3),energyforms!$A$2:$F$14,4,FALSE)&amp;"e"&amp;VLOOKUP($A57,MSG_New!$B$6:$E$140,4,FALSE)&amp;"e:yact"</f>
        <v>ELNUNGTBTBwNGwNCp = Jene:yact</v>
      </c>
    </row>
    <row r="58" spans="1:7" x14ac:dyDescent="0.25">
      <c r="A58" s="109" t="s">
        <v>242</v>
      </c>
      <c r="B58" t="str">
        <f>$A58&amp;"Out = J.ke:out"</f>
        <v>ELNUIngDRcNGwOut = J.ke:out</v>
      </c>
      <c r="D58" t="str">
        <f>$A58&amp;"Cap = J.ke:tic"</f>
        <v>ELNUIngDRcNGwCap = J.ke:tic</v>
      </c>
      <c r="E58" t="str">
        <f>$A58&amp;"Inv = J.ke:inv*J.ke:yact/1000"</f>
        <v>ELNUIngDRcNGwInv = J.ke:inv*J.ke:yact/1000</v>
      </c>
      <c r="F58" t="str">
        <f>$A58&amp;"NCp = J.ke:yact"</f>
        <v>ELNUIngDRcNGwNCp = J.ke:yact</v>
      </c>
      <c r="G58" t="str">
        <f>F58</f>
        <v>ELNUIngDRcNGwNCp = J.ke:yact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A1:K22"/>
  <sheetViews>
    <sheetView workbookViewId="0"/>
  </sheetViews>
  <sheetFormatPr defaultRowHeight="15" x14ac:dyDescent="0.25"/>
  <cols>
    <col min="2" max="2" width="14.85546875" customWidth="1"/>
    <col min="3" max="3" width="24.7109375" customWidth="1"/>
    <col min="4" max="4" width="24.42578125" customWidth="1"/>
    <col min="5" max="5" width="7.28515625" style="5" customWidth="1"/>
    <col min="6" max="6" width="7.42578125" customWidth="1"/>
    <col min="7" max="7" width="8.85546875" style="5" customWidth="1"/>
    <col min="8" max="8" width="9.140625" style="5"/>
    <col min="9" max="9" width="5.85546875" style="5" customWidth="1"/>
    <col min="10" max="10" width="9.140625" style="5"/>
    <col min="11" max="11" width="6" customWidth="1"/>
  </cols>
  <sheetData>
    <row r="1" spans="1:11" x14ac:dyDescent="0.25">
      <c r="B1">
        <v>1</v>
      </c>
      <c r="C1">
        <f>B1+1</f>
        <v>2</v>
      </c>
      <c r="D1">
        <f>C1+1</f>
        <v>3</v>
      </c>
      <c r="E1" s="5">
        <f t="shared" ref="E1:K2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</row>
    <row r="2" spans="1:11" x14ac:dyDescent="0.25">
      <c r="B2" s="15"/>
      <c r="C2" s="15">
        <v>2</v>
      </c>
      <c r="D2" s="15">
        <f>C2+1</f>
        <v>3</v>
      </c>
      <c r="E2" s="28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</row>
    <row r="3" spans="1:11" ht="30.75" customHeight="1" thickBot="1" x14ac:dyDescent="0.3">
      <c r="B3" s="16" t="s">
        <v>46</v>
      </c>
      <c r="C3" s="17" t="s">
        <v>29</v>
      </c>
      <c r="D3" s="17" t="s">
        <v>30</v>
      </c>
      <c r="E3" s="17" t="s">
        <v>39</v>
      </c>
      <c r="F3" s="17" t="s">
        <v>29</v>
      </c>
      <c r="G3" s="7" t="s">
        <v>30</v>
      </c>
      <c r="H3" s="18" t="s">
        <v>32</v>
      </c>
      <c r="I3" s="18" t="s">
        <v>33</v>
      </c>
      <c r="J3" s="18" t="s">
        <v>43</v>
      </c>
      <c r="K3" s="17" t="s">
        <v>36</v>
      </c>
    </row>
    <row r="4" spans="1:11" ht="15" customHeight="1" thickTop="1" x14ac:dyDescent="0.25">
      <c r="B4" s="19" t="s">
        <v>38</v>
      </c>
      <c r="C4" s="19" t="s">
        <v>39</v>
      </c>
      <c r="D4" s="19" t="s">
        <v>39</v>
      </c>
      <c r="E4" s="19" t="s">
        <v>76</v>
      </c>
      <c r="F4" s="19" t="s">
        <v>40</v>
      </c>
      <c r="G4" s="8" t="s">
        <v>40</v>
      </c>
      <c r="H4" s="20" t="s">
        <v>41</v>
      </c>
      <c r="I4" s="20" t="s">
        <v>44</v>
      </c>
      <c r="J4" s="20" t="s">
        <v>7</v>
      </c>
      <c r="K4" s="19" t="s">
        <v>7</v>
      </c>
    </row>
    <row r="5" spans="1:11" x14ac:dyDescent="0.25">
      <c r="B5" s="21" t="str">
        <f>Exist_Raw!A6</f>
        <v>ELEXGHwCIw</v>
      </c>
      <c r="C5" s="22" t="str">
        <f>"Electricity/Secondary/"&amp;VLOOKUP($B5,Exist_Raw!$A$6:$I$11,Exist_Raw!C$2,FALSE)</f>
        <v>Electricity/Secondary/GHw</v>
      </c>
      <c r="D5" s="22" t="str">
        <f>"Electricity/Secondary/"&amp;VLOOKUP($B5,Exist_Raw!$A$6:$I$11,Exist_Raw!D$2,FALSE)</f>
        <v>Electricity/Secondary/CIw</v>
      </c>
      <c r="E5" s="23" t="s">
        <v>50</v>
      </c>
      <c r="F5" s="23">
        <v>1</v>
      </c>
      <c r="G5" s="29">
        <f>1-VLOOKUP($B5,Exist_Raw!$A$6:$I$11,Exist_Raw!H$2,FALSE)</f>
        <v>0.96970000000000001</v>
      </c>
      <c r="H5" s="31">
        <f>1-VLOOKUP($B5,Exist_Raw!$A$6:$I$11,Exist_Raw!I$2,FALSE)</f>
        <v>0.996</v>
      </c>
      <c r="I5" s="23">
        <v>100</v>
      </c>
      <c r="J5" s="32" t="str">
        <f>"2005 "&amp;VLOOKUP($B5,Exist_Raw!$A$6:$I$11,Exist_Raw!F$2,FALSE)</f>
        <v>2005 327</v>
      </c>
      <c r="K5" s="23">
        <v>0</v>
      </c>
    </row>
    <row r="6" spans="1:11" x14ac:dyDescent="0.25">
      <c r="A6" s="35"/>
      <c r="B6" t="str">
        <f>Exist_Raw!A7</f>
        <v>ELEXGHwTBw</v>
      </c>
      <c r="C6" s="25" t="str">
        <f>"Electricity/Secondary/"&amp;VLOOKUP($B6,Exist_Raw!$A$6:$I$11,Exist_Raw!C$2,FALSE)</f>
        <v>Electricity/Secondary/GHw</v>
      </c>
      <c r="D6" s="25" t="str">
        <f>"Electricity/Secondary/"&amp;VLOOKUP($B6,Exist_Raw!$A$6:$I$11,Exist_Raw!D$2,FALSE)</f>
        <v>Electricity/Secondary/TBw</v>
      </c>
      <c r="E6" s="26" t="s">
        <v>50</v>
      </c>
      <c r="F6" s="26">
        <v>1</v>
      </c>
      <c r="G6" s="30">
        <f>1-VLOOKUP($B6,Exist_Raw!$A$6:$I$11,Exist_Raw!H$2,FALSE)</f>
        <v>0.97499999999999998</v>
      </c>
      <c r="H6" s="33">
        <f>1-VLOOKUP($B6,Exist_Raw!$A$6:$I$11,Exist_Raw!I$2,FALSE)</f>
        <v>0.99829999999999997</v>
      </c>
      <c r="I6" s="26">
        <v>100</v>
      </c>
      <c r="J6" s="34" t="str">
        <f>"2005 "&amp;VLOOKUP($B6,Exist_Raw!$A$6:$I$11,Exist_Raw!F$2,FALSE)</f>
        <v>2005 310</v>
      </c>
      <c r="K6" s="27">
        <v>0</v>
      </c>
    </row>
    <row r="7" spans="1:11" x14ac:dyDescent="0.25">
      <c r="A7" s="35"/>
      <c r="B7" t="str">
        <f>Exist_Raw!A8</f>
        <v>ELEXSEwMAw</v>
      </c>
      <c r="C7" s="25" t="str">
        <f>"Electricity/Secondary/"&amp;VLOOKUP($B7,Exist_Raw!$A$6:$I$11,Exist_Raw!C$2,FALSE)</f>
        <v>Electricity/Secondary/SEw</v>
      </c>
      <c r="D7" s="25" t="str">
        <f>"Electricity/Secondary/"&amp;VLOOKUP($B7,Exist_Raw!$A$6:$I$11,Exist_Raw!D$2,FALSE)</f>
        <v>Electricity/Secondary/MAw</v>
      </c>
      <c r="E7" s="26" t="s">
        <v>50</v>
      </c>
      <c r="F7" s="26">
        <v>1</v>
      </c>
      <c r="G7" s="30">
        <f>1-VLOOKUP($B7,Exist_Raw!$A$6:$I$11,Exist_Raw!H$2,FALSE)</f>
        <v>0.94540000000000002</v>
      </c>
      <c r="H7" s="33">
        <f>1-VLOOKUP($B7,Exist_Raw!$A$6:$I$11,Exist_Raw!I$2,FALSE)</f>
        <v>0.97809999999999997</v>
      </c>
      <c r="I7" s="26">
        <v>100</v>
      </c>
      <c r="J7" s="34" t="str">
        <f>"2005 "&amp;VLOOKUP($B7,Exist_Raw!$A$6:$I$11,Exist_Raw!F$2,FALSE)</f>
        <v>2005 100</v>
      </c>
      <c r="K7" s="27">
        <v>0</v>
      </c>
    </row>
    <row r="8" spans="1:11" x14ac:dyDescent="0.25">
      <c r="A8" s="35"/>
      <c r="B8" t="str">
        <f>Exist_Raw!A9</f>
        <v>ELEXCIwBUw</v>
      </c>
      <c r="C8" s="25" t="str">
        <f>"Electricity/Secondary/"&amp;VLOOKUP($B8,Exist_Raw!$A$6:$I$11,Exist_Raw!C$2,FALSE)</f>
        <v>Electricity/Secondary/CIw</v>
      </c>
      <c r="D8" s="25" t="str">
        <f>"Electricity/Secondary/"&amp;VLOOKUP($B8,Exist_Raw!$A$6:$I$11,Exist_Raw!D$2,FALSE)</f>
        <v>Electricity/Secondary/BUw</v>
      </c>
      <c r="E8" s="26" t="s">
        <v>50</v>
      </c>
      <c r="F8" s="26">
        <v>1</v>
      </c>
      <c r="G8" s="30">
        <f>1-VLOOKUP($B8,Exist_Raw!$A$6:$I$11,Exist_Raw!H$2,FALSE)</f>
        <v>0.96520000000000006</v>
      </c>
      <c r="H8" s="33">
        <f>1-VLOOKUP($B8,Exist_Raw!$A$6:$I$11,Exist_Raw!I$2,FALSE)</f>
        <v>0.99590000000000001</v>
      </c>
      <c r="I8" s="26">
        <v>100</v>
      </c>
      <c r="J8" s="34" t="str">
        <f>"2005 "&amp;VLOOKUP($B8,Exist_Raw!$A$6:$I$11,Exist_Raw!F$2,FALSE)</f>
        <v>2005 327</v>
      </c>
      <c r="K8" s="27">
        <v>0</v>
      </c>
    </row>
    <row r="9" spans="1:11" x14ac:dyDescent="0.25">
      <c r="A9" s="35"/>
      <c r="B9" t="str">
        <f>Exist_Raw!A10</f>
        <v>ELEXNGwTBw</v>
      </c>
      <c r="C9" s="25" t="str">
        <f>"Electricity/Secondary/"&amp;VLOOKUP($B9,Exist_Raw!$A$6:$I$11,Exist_Raw!C$2,FALSE)</f>
        <v>Electricity/Secondary/NGw</v>
      </c>
      <c r="D9" s="25" t="str">
        <f>"Electricity/Secondary/"&amp;VLOOKUP($B9,Exist_Raw!$A$6:$I$11,Exist_Raw!D$2,FALSE)</f>
        <v>Electricity/Secondary/TBw</v>
      </c>
      <c r="E9" s="26" t="s">
        <v>51</v>
      </c>
      <c r="F9" s="26">
        <v>1</v>
      </c>
      <c r="G9" s="30">
        <f>1-VLOOKUP($B9,Exist_Raw!$A$6:$I$11,Exist_Raw!H$2,FALSE)</f>
        <v>0.97499999999999998</v>
      </c>
      <c r="H9" s="33">
        <f>1-VLOOKUP($B9,Exist_Raw!$A$6:$I$11,Exist_Raw!I$2,FALSE)</f>
        <v>0.99860000000000004</v>
      </c>
      <c r="I9" s="26">
        <v>100</v>
      </c>
      <c r="J9" s="34" t="str">
        <f>"2005 "&amp;VLOOKUP($B9,Exist_Raw!$A$6:$I$11,Exist_Raw!F$2,FALSE)</f>
        <v>2005 686</v>
      </c>
      <c r="K9" s="27">
        <v>0</v>
      </c>
    </row>
    <row r="10" spans="1:11" x14ac:dyDescent="0.25">
      <c r="A10" s="35"/>
      <c r="B10" t="str">
        <f>Exist_Raw!A11</f>
        <v>ELEXNGwNIw</v>
      </c>
      <c r="C10" s="25" t="str">
        <f>"Electricity/Secondary/"&amp;VLOOKUP($B10,Exist_Raw!$A$6:$I$11,Exist_Raw!C$2,FALSE)</f>
        <v>Electricity/Secondary/NGw</v>
      </c>
      <c r="D10" s="25" t="str">
        <f>"Electricity/Secondary/"&amp;VLOOKUP($B10,Exist_Raw!$A$6:$I$11,Exist_Raw!D$2,FALSE)</f>
        <v>Electricity/Secondary/NIw</v>
      </c>
      <c r="E10" s="26" t="s">
        <v>50</v>
      </c>
      <c r="F10" s="26">
        <v>1</v>
      </c>
      <c r="G10" s="30">
        <f>1-VLOOKUP($B10,Exist_Raw!$A$6:$I$11,Exist_Raw!H$2,FALSE)</f>
        <v>0.9738</v>
      </c>
      <c r="H10" s="33">
        <f>1-VLOOKUP($B10,Exist_Raw!$A$6:$I$11,Exist_Raw!I$2,FALSE)</f>
        <v>0.997</v>
      </c>
      <c r="I10" s="26">
        <v>100</v>
      </c>
      <c r="J10" s="34" t="str">
        <f>"2005 "&amp;VLOOKUP($B10,Exist_Raw!$A$6:$I$11,Exist_Raw!F$2,FALSE)</f>
        <v>2005 169.2</v>
      </c>
      <c r="K10" s="27">
        <v>0</v>
      </c>
    </row>
    <row r="11" spans="1:11" x14ac:dyDescent="0.25">
      <c r="A11" s="35"/>
      <c r="B11" s="36"/>
      <c r="C11" s="37"/>
      <c r="D11" s="37"/>
      <c r="E11" s="38"/>
      <c r="F11" s="38"/>
      <c r="G11" s="39"/>
      <c r="H11" s="40"/>
      <c r="I11" s="38"/>
      <c r="J11" s="41"/>
      <c r="K11" s="42"/>
    </row>
    <row r="14" spans="1:11" ht="27" customHeight="1" thickBot="1" x14ac:dyDescent="0.3">
      <c r="B14" s="16" t="s">
        <v>47</v>
      </c>
      <c r="C14" s="17" t="s">
        <v>29</v>
      </c>
      <c r="D14" s="17" t="s">
        <v>30</v>
      </c>
      <c r="E14" s="17" t="s">
        <v>39</v>
      </c>
      <c r="F14" s="17" t="s">
        <v>29</v>
      </c>
      <c r="G14" s="7" t="s">
        <v>30</v>
      </c>
      <c r="H14" s="18" t="s">
        <v>32</v>
      </c>
      <c r="I14" s="18" t="s">
        <v>33</v>
      </c>
      <c r="J14" s="18" t="s">
        <v>43</v>
      </c>
      <c r="K14" s="17" t="s">
        <v>36</v>
      </c>
    </row>
    <row r="15" spans="1:11" ht="15.75" thickTop="1" x14ac:dyDescent="0.25">
      <c r="B15" s="19" t="s">
        <v>38</v>
      </c>
      <c r="C15" s="19" t="s">
        <v>39</v>
      </c>
      <c r="D15" s="19" t="s">
        <v>39</v>
      </c>
      <c r="E15" s="19" t="s">
        <v>76</v>
      </c>
      <c r="F15" s="19" t="s">
        <v>40</v>
      </c>
      <c r="G15" s="8" t="s">
        <v>40</v>
      </c>
      <c r="H15" s="20" t="s">
        <v>41</v>
      </c>
      <c r="I15" s="20" t="s">
        <v>44</v>
      </c>
      <c r="J15" s="20" t="s">
        <v>7</v>
      </c>
      <c r="K15" s="19" t="s">
        <v>7</v>
      </c>
    </row>
    <row r="16" spans="1:11" x14ac:dyDescent="0.25">
      <c r="B16" s="21" t="str">
        <f>Exist_Raw!B6</f>
        <v>ELEXCIwGHw</v>
      </c>
      <c r="C16" s="22" t="str">
        <f>"Electricity/Secondary/"&amp;VLOOKUP($B16,Exist_Raw!$B$6:$I$11,Exist_Raw!D$1,FALSE)</f>
        <v>Electricity/Secondary/CIw</v>
      </c>
      <c r="D16" s="22" t="str">
        <f>"Electricity/Secondary/"&amp;VLOOKUP($B16,Exist_Raw!$B$6:$I$11,Exist_Raw!C$1,FALSE)</f>
        <v>Electricity/Secondary/GHw</v>
      </c>
      <c r="E16" s="23" t="s">
        <v>50</v>
      </c>
      <c r="F16" s="23">
        <v>1</v>
      </c>
      <c r="G16" s="29">
        <f>1-VLOOKUP($B16,Exist_Raw!$B$6:$I$11,Exist_Raw!H$1,FALSE)</f>
        <v>0.96970000000000001</v>
      </c>
      <c r="H16" s="31">
        <f>1-VLOOKUP($B16,Exist_Raw!$B$6:$I$11,Exist_Raw!I$1,FALSE)</f>
        <v>0.996</v>
      </c>
      <c r="I16" s="23">
        <v>100</v>
      </c>
      <c r="J16" s="32" t="str">
        <f>"2005 "&amp;VLOOKUP($B16,Exist_Raw!$B$6:$I$11,Exist_Raw!F$1,FALSE)</f>
        <v>2005 327</v>
      </c>
      <c r="K16" s="23">
        <v>0</v>
      </c>
    </row>
    <row r="17" spans="2:11" x14ac:dyDescent="0.25">
      <c r="B17" s="43" t="str">
        <f>Exist_Raw!B7</f>
        <v>ELEXTBwGHw</v>
      </c>
      <c r="C17" s="25" t="str">
        <f>"Electricity/Secondary/"&amp;VLOOKUP($B17,Exist_Raw!$B$6:$I$11,Exist_Raw!D$1,FALSE)</f>
        <v>Electricity/Secondary/TBw</v>
      </c>
      <c r="D17" s="25" t="str">
        <f>"Electricity/Secondary/"&amp;VLOOKUP($B17,Exist_Raw!$B$6:$I$11,Exist_Raw!C$1,FALSE)</f>
        <v>Electricity/Secondary/GHw</v>
      </c>
      <c r="E17" s="26" t="s">
        <v>51</v>
      </c>
      <c r="F17" s="26">
        <v>1</v>
      </c>
      <c r="G17" s="30">
        <f>1-VLOOKUP($B17,Exist_Raw!$B$6:$I$11,Exist_Raw!H$1,FALSE)</f>
        <v>0.97499999999999998</v>
      </c>
      <c r="H17" s="33">
        <f>1-VLOOKUP($B17,Exist_Raw!$B$6:$I$11,Exist_Raw!I$1,FALSE)</f>
        <v>0.99829999999999997</v>
      </c>
      <c r="I17" s="26">
        <v>100</v>
      </c>
      <c r="J17" s="34" t="str">
        <f>"2005 "&amp;VLOOKUP($B17,Exist_Raw!$B$6:$I$11,Exist_Raw!F$1,FALSE)</f>
        <v>2005 310</v>
      </c>
      <c r="K17" s="27">
        <v>0</v>
      </c>
    </row>
    <row r="18" spans="2:11" x14ac:dyDescent="0.25">
      <c r="B18" s="43" t="str">
        <f>Exist_Raw!B8</f>
        <v>ELEXMAwSEw</v>
      </c>
      <c r="C18" s="25" t="str">
        <f>"Electricity/Secondary/"&amp;VLOOKUP($B18,Exist_Raw!$B$6:$I$11,Exist_Raw!D$1,FALSE)</f>
        <v>Electricity/Secondary/MAw</v>
      </c>
      <c r="D18" s="25" t="str">
        <f>"Electricity/Secondary/"&amp;VLOOKUP($B18,Exist_Raw!$B$6:$I$11,Exist_Raw!C$1,FALSE)</f>
        <v>Electricity/Secondary/SEw</v>
      </c>
      <c r="E18" s="26" t="s">
        <v>50</v>
      </c>
      <c r="F18" s="26">
        <v>1</v>
      </c>
      <c r="G18" s="30">
        <f>1-VLOOKUP($B18,Exist_Raw!$B$6:$I$11,Exist_Raw!H$1,FALSE)</f>
        <v>0.94540000000000002</v>
      </c>
      <c r="H18" s="33">
        <f>1-VLOOKUP($B18,Exist_Raw!$B$6:$I$11,Exist_Raw!I$1,FALSE)</f>
        <v>0.97809999999999997</v>
      </c>
      <c r="I18" s="26">
        <v>100</v>
      </c>
      <c r="J18" s="34" t="str">
        <f>"2005 "&amp;VLOOKUP($B18,Exist_Raw!$B$6:$I$11,Exist_Raw!F$1,FALSE)</f>
        <v>2005 100</v>
      </c>
      <c r="K18" s="27">
        <v>0</v>
      </c>
    </row>
    <row r="19" spans="2:11" x14ac:dyDescent="0.25">
      <c r="B19" s="43" t="str">
        <f>Exist_Raw!B9</f>
        <v>ELEXBUwCIw</v>
      </c>
      <c r="C19" s="25" t="str">
        <f>"Electricity/Secondary/"&amp;VLOOKUP($B19,Exist_Raw!$B$6:$I$11,Exist_Raw!D$1,FALSE)</f>
        <v>Electricity/Secondary/BUw</v>
      </c>
      <c r="D19" s="25" t="str">
        <f>"Electricity/Secondary/"&amp;VLOOKUP($B19,Exist_Raw!$B$6:$I$11,Exist_Raw!C$1,FALSE)</f>
        <v>Electricity/Secondary/CIw</v>
      </c>
      <c r="E19" s="26" t="s">
        <v>51</v>
      </c>
      <c r="F19" s="26">
        <v>1</v>
      </c>
      <c r="G19" s="30">
        <f>1-VLOOKUP($B19,Exist_Raw!$B$6:$I$11,Exist_Raw!H$1,FALSE)</f>
        <v>0.96520000000000006</v>
      </c>
      <c r="H19" s="33">
        <f>1-VLOOKUP($B19,Exist_Raw!$B$6:$I$11,Exist_Raw!I$1,FALSE)</f>
        <v>0.99590000000000001</v>
      </c>
      <c r="I19" s="26">
        <v>100</v>
      </c>
      <c r="J19" s="34" t="str">
        <f>"2005 "&amp;VLOOKUP($B19,Exist_Raw!$B$6:$I$11,Exist_Raw!F$1,FALSE)</f>
        <v>2005 327</v>
      </c>
      <c r="K19" s="27">
        <v>0</v>
      </c>
    </row>
    <row r="20" spans="2:11" x14ac:dyDescent="0.25">
      <c r="B20" s="43" t="str">
        <f>Exist_Raw!B10</f>
        <v>ELEXTBwNGw</v>
      </c>
      <c r="C20" s="25" t="str">
        <f>"Electricity/Secondary/"&amp;VLOOKUP($B20,Exist_Raw!$B$6:$I$11,Exist_Raw!D$1,FALSE)</f>
        <v>Electricity/Secondary/TBw</v>
      </c>
      <c r="D20" s="25" t="str">
        <f>"Electricity/Secondary/"&amp;VLOOKUP($B20,Exist_Raw!$B$6:$I$11,Exist_Raw!C$1,FALSE)</f>
        <v>Electricity/Secondary/NGw</v>
      </c>
      <c r="E20" s="26" t="s">
        <v>50</v>
      </c>
      <c r="F20" s="26">
        <v>1</v>
      </c>
      <c r="G20" s="30">
        <f>1-VLOOKUP($B20,Exist_Raw!$B$6:$I$11,Exist_Raw!H$1,FALSE)</f>
        <v>0.97499999999999998</v>
      </c>
      <c r="H20" s="33">
        <f>1-VLOOKUP($B20,Exist_Raw!$B$6:$I$11,Exist_Raw!I$1,FALSE)</f>
        <v>0.99860000000000004</v>
      </c>
      <c r="I20" s="26">
        <v>100</v>
      </c>
      <c r="J20" s="34" t="str">
        <f>"2005 "&amp;VLOOKUP($B20,Exist_Raw!$B$6:$I$11,Exist_Raw!F$1,FALSE)</f>
        <v>2005 686</v>
      </c>
      <c r="K20" s="27">
        <v>0</v>
      </c>
    </row>
    <row r="21" spans="2:11" x14ac:dyDescent="0.25">
      <c r="B21" s="43" t="str">
        <f>Exist_Raw!B11</f>
        <v>ELEXNIwNGw</v>
      </c>
      <c r="C21" s="25" t="str">
        <f>"Electricity/Secondary/"&amp;VLOOKUP($B21,Exist_Raw!$B$6:$I$11,Exist_Raw!D$1,FALSE)</f>
        <v>Electricity/Secondary/NIw</v>
      </c>
      <c r="D21" s="25" t="str">
        <f>"Electricity/Secondary/"&amp;VLOOKUP($B21,Exist_Raw!$B$6:$I$11,Exist_Raw!C$1,FALSE)</f>
        <v>Electricity/Secondary/NGw</v>
      </c>
      <c r="E21" s="26" t="s">
        <v>51</v>
      </c>
      <c r="F21" s="26">
        <v>1</v>
      </c>
      <c r="G21" s="30">
        <f>1-VLOOKUP($B21,Exist_Raw!$B$6:$I$11,Exist_Raw!H$1,FALSE)</f>
        <v>0.9738</v>
      </c>
      <c r="H21" s="33">
        <f>1-VLOOKUP($B21,Exist_Raw!$B$6:$I$11,Exist_Raw!I$1,FALSE)</f>
        <v>0.997</v>
      </c>
      <c r="I21" s="26">
        <v>100</v>
      </c>
      <c r="J21" s="34" t="str">
        <f>"2005 "&amp;VLOOKUP($B21,Exist_Raw!$B$6:$I$11,Exist_Raw!F$1,FALSE)</f>
        <v>2005 169.2</v>
      </c>
      <c r="K21" s="27">
        <v>0</v>
      </c>
    </row>
    <row r="22" spans="2:11" x14ac:dyDescent="0.25">
      <c r="B22" s="36"/>
      <c r="C22" s="37"/>
      <c r="D22" s="37"/>
      <c r="E22" s="38"/>
      <c r="F22" s="38"/>
      <c r="G22" s="39"/>
      <c r="H22" s="40"/>
      <c r="I22" s="38"/>
      <c r="J22" s="41"/>
      <c r="K22" s="4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09"/>
  <sheetViews>
    <sheetView workbookViewId="0"/>
  </sheetViews>
  <sheetFormatPr defaultRowHeight="15" x14ac:dyDescent="0.25"/>
  <cols>
    <col min="2" max="2" width="12.7109375" customWidth="1"/>
  </cols>
  <sheetData>
    <row r="2" spans="1:6" x14ac:dyDescent="0.25">
      <c r="A2" s="69">
        <v>1</v>
      </c>
      <c r="B2" t="s">
        <v>63</v>
      </c>
    </row>
    <row r="3" spans="1:6" x14ac:dyDescent="0.25">
      <c r="B3" t="str">
        <f ca="1">OFFSET(MSG_Exist!$B$4,A2,0)</f>
        <v>ELEXGHwCIw</v>
      </c>
      <c r="C3" t="str">
        <f ca="1">VLOOKUP(B3,MSG_Exist!$B$5:$O$92,MSG_Exist!E$1,FALSE)</f>
        <v>a</v>
      </c>
    </row>
    <row r="4" spans="1:6" x14ac:dyDescent="0.25">
      <c r="C4" t="s">
        <v>64</v>
      </c>
      <c r="D4" t="str">
        <f ca="1">VLOOKUP(VLOOKUP(B3,MSG_Exist!$B$5:$K$22,MSG_Exist!C$1,FALSE),energyforms!$B$2:$E$13,4,FALSE)</f>
        <v>e-D-GHw</v>
      </c>
      <c r="E4">
        <f ca="1">VLOOKUP(B3,MSG_Exist!$B$5:$K$22,MSG_Exist!F$1,FALSE)</f>
        <v>1</v>
      </c>
    </row>
    <row r="5" spans="1:6" x14ac:dyDescent="0.25">
      <c r="C5" t="s">
        <v>65</v>
      </c>
      <c r="D5" t="str">
        <f ca="1">VLOOKUP(VLOOKUP(B3,MSG_Exist!$B$5:$K$22,MSG_Exist!D$1,FALSE),energyforms!$B$2:$E$13,4,FALSE)</f>
        <v>e-B-CIw</v>
      </c>
      <c r="E5" t="s">
        <v>52</v>
      </c>
      <c r="F5">
        <f ca="1">VLOOKUP(B3,MSG_Exist!$B$5:$K$22,MSG_Exist!G$1,FALSE)</f>
        <v>0.96970000000000001</v>
      </c>
    </row>
    <row r="6" spans="1:6" x14ac:dyDescent="0.25">
      <c r="C6" t="s">
        <v>66</v>
      </c>
      <c r="D6" t="s">
        <v>52</v>
      </c>
      <c r="E6">
        <f ca="1">VLOOKUP(B3,MSG_Exist!$B$5:$K$22,MSG_Exist!I$1,FALSE)</f>
        <v>100</v>
      </c>
    </row>
    <row r="7" spans="1:6" x14ac:dyDescent="0.25">
      <c r="C7" t="s">
        <v>72</v>
      </c>
      <c r="D7">
        <v>0</v>
      </c>
      <c r="E7" t="s">
        <v>73</v>
      </c>
      <c r="F7" t="str">
        <f ca="1">VLOOKUP(B3,MSG_Exist!$B$5:$K$22,MSG_Exist!J$1,FALSE)</f>
        <v>2005 327</v>
      </c>
    </row>
    <row r="8" spans="1:6" x14ac:dyDescent="0.25">
      <c r="C8" t="s">
        <v>68</v>
      </c>
      <c r="D8" t="s">
        <v>52</v>
      </c>
      <c r="E8">
        <f ca="1">VLOOKUP(B3,MSG_Exist!$B$5:$K$22,MSG_Exist!H$1,FALSE)</f>
        <v>0.996</v>
      </c>
    </row>
    <row r="9" spans="1:6" x14ac:dyDescent="0.25">
      <c r="C9" t="s">
        <v>69</v>
      </c>
      <c r="D9" t="s">
        <v>74</v>
      </c>
      <c r="E9" t="s">
        <v>75</v>
      </c>
      <c r="F9">
        <f ca="1">VLOOKUP(B3,MSG_Exist!$B$5:$K$22,MSG_Exist!K$1,FALSE)</f>
        <v>0</v>
      </c>
    </row>
    <row r="10" spans="1:6" x14ac:dyDescent="0.25">
      <c r="B10" t="s">
        <v>71</v>
      </c>
    </row>
    <row r="11" spans="1:6" x14ac:dyDescent="0.25">
      <c r="A11" s="69">
        <f>A2+1</f>
        <v>2</v>
      </c>
      <c r="B11" t="s">
        <v>63</v>
      </c>
    </row>
    <row r="12" spans="1:6" x14ac:dyDescent="0.25">
      <c r="B12" t="str">
        <f ca="1">OFFSET(MSG_Exist!$B$4,A11,0)</f>
        <v>ELEXGHwTBw</v>
      </c>
      <c r="C12" t="str">
        <f ca="1">VLOOKUP(B12,MSG_Exist!$B$5:$O$92,MSG_Exist!E$1,FALSE)</f>
        <v>a</v>
      </c>
    </row>
    <row r="13" spans="1:6" x14ac:dyDescent="0.25">
      <c r="C13" t="s">
        <v>64</v>
      </c>
      <c r="D13" t="str">
        <f ca="1">VLOOKUP(VLOOKUP(B12,MSG_Exist!$B$5:$K$22,MSG_Exist!C$1,FALSE),energyforms!$B$2:$E$13,4,FALSE)</f>
        <v>e-D-GHw</v>
      </c>
      <c r="E13">
        <f ca="1">VLOOKUP(B12,MSG_Exist!$B$5:$K$22,MSG_Exist!F$1,FALSE)</f>
        <v>1</v>
      </c>
    </row>
    <row r="14" spans="1:6" x14ac:dyDescent="0.25">
      <c r="C14" t="s">
        <v>65</v>
      </c>
      <c r="D14" t="str">
        <f ca="1">VLOOKUP(VLOOKUP(B12,MSG_Exist!$B$5:$K$22,MSG_Exist!D$1,FALSE),energyforms!$B$2:$E$14,4,FALSE)</f>
        <v>e-M-TBw</v>
      </c>
      <c r="E14" t="s">
        <v>52</v>
      </c>
      <c r="F14">
        <f ca="1">VLOOKUP(B12,MSG_Exist!$B$5:$K$22,MSG_Exist!G$1,FALSE)</f>
        <v>0.97499999999999998</v>
      </c>
    </row>
    <row r="15" spans="1:6" x14ac:dyDescent="0.25">
      <c r="C15" t="s">
        <v>66</v>
      </c>
      <c r="D15" t="s">
        <v>52</v>
      </c>
      <c r="E15">
        <f ca="1">VLOOKUP(B12,MSG_Exist!$B$5:$K$22,MSG_Exist!I$1,FALSE)</f>
        <v>100</v>
      </c>
    </row>
    <row r="16" spans="1:6" x14ac:dyDescent="0.25">
      <c r="C16" t="s">
        <v>72</v>
      </c>
      <c r="D16">
        <v>0</v>
      </c>
      <c r="E16" t="s">
        <v>73</v>
      </c>
      <c r="F16" t="str">
        <f ca="1">VLOOKUP(B12,MSG_Exist!$B$5:$K$22,MSG_Exist!J$1,FALSE)</f>
        <v>2005 310</v>
      </c>
    </row>
    <row r="17" spans="1:6" x14ac:dyDescent="0.25">
      <c r="C17" t="s">
        <v>68</v>
      </c>
      <c r="D17" t="s">
        <v>52</v>
      </c>
      <c r="E17">
        <f ca="1">VLOOKUP(B12,MSG_Exist!$B$5:$K$22,MSG_Exist!H$1,FALSE)</f>
        <v>0.99829999999999997</v>
      </c>
    </row>
    <row r="18" spans="1:6" x14ac:dyDescent="0.25">
      <c r="C18" t="s">
        <v>69</v>
      </c>
      <c r="D18" t="s">
        <v>74</v>
      </c>
      <c r="E18" t="s">
        <v>75</v>
      </c>
      <c r="F18">
        <f ca="1">VLOOKUP(B12,MSG_Exist!$B$5:$K$22,MSG_Exist!K$1,FALSE)</f>
        <v>0</v>
      </c>
    </row>
    <row r="19" spans="1:6" x14ac:dyDescent="0.25">
      <c r="B19" t="s">
        <v>71</v>
      </c>
    </row>
    <row r="20" spans="1:6" x14ac:dyDescent="0.25">
      <c r="A20" s="69">
        <f>A11+1</f>
        <v>3</v>
      </c>
      <c r="B20" t="s">
        <v>63</v>
      </c>
    </row>
    <row r="21" spans="1:6" x14ac:dyDescent="0.25">
      <c r="B21" t="str">
        <f ca="1">OFFSET(MSG_Exist!$B$4,A20,0)</f>
        <v>ELEXSEwMAw</v>
      </c>
      <c r="C21" t="str">
        <f ca="1">VLOOKUP(B21,MSG_Exist!$B$5:$O$92,MSG_Exist!E$1,FALSE)</f>
        <v>a</v>
      </c>
    </row>
    <row r="22" spans="1:6" x14ac:dyDescent="0.25">
      <c r="C22" t="s">
        <v>64</v>
      </c>
      <c r="D22" t="str">
        <f ca="1">VLOOKUP(VLOOKUP(B21,MSG_Exist!$B$5:$K$22,MSG_Exist!C$1,FALSE),energyforms!$B$2:$E$13,4,FALSE)</f>
        <v>e-K-SEw</v>
      </c>
      <c r="E22">
        <f ca="1">VLOOKUP(B21,MSG_Exist!$B$5:$K$22,MSG_Exist!F$1,FALSE)</f>
        <v>1</v>
      </c>
    </row>
    <row r="23" spans="1:6" x14ac:dyDescent="0.25">
      <c r="C23" t="s">
        <v>65</v>
      </c>
      <c r="D23" t="str">
        <f ca="1">VLOOKUP(VLOOKUP(B21,MSG_Exist!$B$5:$K$22,MSG_Exist!D$1,FALSE),energyforms!$B$2:$E$13,4,FALSE)</f>
        <v>e-H-MAw</v>
      </c>
      <c r="E23" t="s">
        <v>52</v>
      </c>
      <c r="F23">
        <f ca="1">VLOOKUP(B21,MSG_Exist!$B$5:$K$22,MSG_Exist!G$1,FALSE)</f>
        <v>0.94540000000000002</v>
      </c>
    </row>
    <row r="24" spans="1:6" x14ac:dyDescent="0.25">
      <c r="C24" t="s">
        <v>66</v>
      </c>
      <c r="D24" t="s">
        <v>52</v>
      </c>
      <c r="E24">
        <f ca="1">VLOOKUP(B21,MSG_Exist!$B$5:$K$22,MSG_Exist!I$1,FALSE)</f>
        <v>100</v>
      </c>
    </row>
    <row r="25" spans="1:6" x14ac:dyDescent="0.25">
      <c r="C25" t="s">
        <v>72</v>
      </c>
      <c r="D25">
        <v>0</v>
      </c>
      <c r="E25" t="s">
        <v>73</v>
      </c>
      <c r="F25" t="str">
        <f ca="1">VLOOKUP(B21,MSG_Exist!$B$5:$K$22,MSG_Exist!J$1,FALSE)</f>
        <v>2005 100</v>
      </c>
    </row>
    <row r="26" spans="1:6" x14ac:dyDescent="0.25">
      <c r="C26" t="s">
        <v>68</v>
      </c>
      <c r="D26" t="s">
        <v>52</v>
      </c>
      <c r="E26">
        <f ca="1">VLOOKUP(B21,MSG_Exist!$B$5:$K$22,MSG_Exist!H$1,FALSE)</f>
        <v>0.97809999999999997</v>
      </c>
    </row>
    <row r="27" spans="1:6" x14ac:dyDescent="0.25">
      <c r="C27" t="s">
        <v>69</v>
      </c>
      <c r="D27" t="s">
        <v>74</v>
      </c>
      <c r="E27" t="s">
        <v>75</v>
      </c>
      <c r="F27">
        <f ca="1">VLOOKUP(B21,MSG_Exist!$B$5:$K$22,MSG_Exist!K$1,FALSE)</f>
        <v>0</v>
      </c>
    </row>
    <row r="28" spans="1:6" x14ac:dyDescent="0.25">
      <c r="B28" t="s">
        <v>71</v>
      </c>
    </row>
    <row r="29" spans="1:6" x14ac:dyDescent="0.25">
      <c r="A29" s="69">
        <f>A20+1</f>
        <v>4</v>
      </c>
      <c r="B29" t="s">
        <v>63</v>
      </c>
    </row>
    <row r="30" spans="1:6" x14ac:dyDescent="0.25">
      <c r="B30" t="str">
        <f ca="1">OFFSET(MSG_Exist!$B$4,A29,0)</f>
        <v>ELEXCIwBUw</v>
      </c>
      <c r="C30" t="str">
        <f ca="1">VLOOKUP(B30,MSG_Exist!$B$5:$O$92,MSG_Exist!E$1,FALSE)</f>
        <v>a</v>
      </c>
    </row>
    <row r="31" spans="1:6" x14ac:dyDescent="0.25">
      <c r="C31" t="s">
        <v>64</v>
      </c>
      <c r="D31" t="str">
        <f ca="1">VLOOKUP(VLOOKUP(B30,MSG_Exist!$B$5:$K$22,MSG_Exist!C$1,FALSE),energyforms!$B$2:$E$13,4,FALSE)</f>
        <v>e-B-CIw</v>
      </c>
      <c r="E31">
        <f ca="1">VLOOKUP(B30,MSG_Exist!$B$5:$K$22,MSG_Exist!F$1,FALSE)</f>
        <v>1</v>
      </c>
    </row>
    <row r="32" spans="1:6" x14ac:dyDescent="0.25">
      <c r="C32" t="s">
        <v>65</v>
      </c>
      <c r="D32" t="str">
        <f ca="1">VLOOKUP(VLOOKUP(B30,MSG_Exist!$B$5:$K$22,MSG_Exist!D$1,FALSE),energyforms!$B$2:$E$13,4,FALSE)</f>
        <v>e-A-BUw</v>
      </c>
      <c r="E32" t="s">
        <v>52</v>
      </c>
      <c r="F32">
        <f ca="1">VLOOKUP(B30,MSG_Exist!$B$5:$K$22,MSG_Exist!G$1,FALSE)</f>
        <v>0.96520000000000006</v>
      </c>
    </row>
    <row r="33" spans="1:6" x14ac:dyDescent="0.25">
      <c r="C33" t="s">
        <v>66</v>
      </c>
      <c r="D33" t="s">
        <v>52</v>
      </c>
      <c r="E33">
        <f ca="1">VLOOKUP(B30,MSG_Exist!$B$5:$K$22,MSG_Exist!I$1,FALSE)</f>
        <v>100</v>
      </c>
    </row>
    <row r="34" spans="1:6" x14ac:dyDescent="0.25">
      <c r="C34" t="s">
        <v>72</v>
      </c>
      <c r="D34">
        <v>0</v>
      </c>
      <c r="E34" t="s">
        <v>73</v>
      </c>
      <c r="F34" t="str">
        <f ca="1">VLOOKUP(B30,MSG_Exist!$B$5:$K$22,MSG_Exist!J$1,FALSE)</f>
        <v>2005 327</v>
      </c>
    </row>
    <row r="35" spans="1:6" x14ac:dyDescent="0.25">
      <c r="C35" t="s">
        <v>68</v>
      </c>
      <c r="D35" t="s">
        <v>52</v>
      </c>
      <c r="E35">
        <f ca="1">VLOOKUP(B30,MSG_Exist!$B$5:$K$22,MSG_Exist!H$1,FALSE)</f>
        <v>0.99590000000000001</v>
      </c>
    </row>
    <row r="36" spans="1:6" x14ac:dyDescent="0.25">
      <c r="C36" t="s">
        <v>69</v>
      </c>
      <c r="D36" t="s">
        <v>74</v>
      </c>
      <c r="E36" t="s">
        <v>75</v>
      </c>
      <c r="F36">
        <f ca="1">VLOOKUP(B30,MSG_Exist!$B$5:$K$22,MSG_Exist!K$1,FALSE)</f>
        <v>0</v>
      </c>
    </row>
    <row r="37" spans="1:6" x14ac:dyDescent="0.25">
      <c r="B37" t="s">
        <v>71</v>
      </c>
    </row>
    <row r="38" spans="1:6" x14ac:dyDescent="0.25">
      <c r="A38" s="69">
        <f>A29+1</f>
        <v>5</v>
      </c>
      <c r="B38" t="s">
        <v>63</v>
      </c>
    </row>
    <row r="39" spans="1:6" x14ac:dyDescent="0.25">
      <c r="B39" t="str">
        <f ca="1">OFFSET(MSG_Exist!$B$4,A38,0)</f>
        <v>ELEXNGwTBw</v>
      </c>
      <c r="C39" t="str">
        <f ca="1">VLOOKUP(B39,MSG_Exist!$B$5:$O$92,MSG_Exist!E$1,FALSE)</f>
        <v>b</v>
      </c>
    </row>
    <row r="40" spans="1:6" x14ac:dyDescent="0.25">
      <c r="C40" t="s">
        <v>64</v>
      </c>
      <c r="D40" t="str">
        <f ca="1">VLOOKUP(VLOOKUP(B39,MSG_Exist!$B$5:$K$22,MSG_Exist!C$1,FALSE),energyforms!$B$2:$E$13,4,FALSE)</f>
        <v>e-J-NGw</v>
      </c>
      <c r="E40">
        <f ca="1">VLOOKUP(B39,MSG_Exist!$B$5:$K$22,MSG_Exist!F$1,FALSE)</f>
        <v>1</v>
      </c>
    </row>
    <row r="41" spans="1:6" x14ac:dyDescent="0.25">
      <c r="C41" t="s">
        <v>65</v>
      </c>
      <c r="D41" t="str">
        <f ca="1">VLOOKUP(VLOOKUP(B39,MSG_Exist!$B$5:$K$22,MSG_Exist!D$1,FALSE),energyforms!$B$2:$E$14,4,FALSE)</f>
        <v>e-M-TBw</v>
      </c>
      <c r="E41" t="s">
        <v>52</v>
      </c>
      <c r="F41">
        <f ca="1">VLOOKUP(B39,MSG_Exist!$B$5:$K$22,MSG_Exist!G$1,FALSE)</f>
        <v>0.97499999999999998</v>
      </c>
    </row>
    <row r="42" spans="1:6" x14ac:dyDescent="0.25">
      <c r="C42" t="s">
        <v>66</v>
      </c>
      <c r="D42" t="s">
        <v>52</v>
      </c>
      <c r="E42">
        <f ca="1">VLOOKUP(B39,MSG_Exist!$B$5:$K$22,MSG_Exist!I$1,FALSE)</f>
        <v>100</v>
      </c>
    </row>
    <row r="43" spans="1:6" x14ac:dyDescent="0.25">
      <c r="C43" t="s">
        <v>72</v>
      </c>
      <c r="D43">
        <v>0</v>
      </c>
      <c r="E43" t="s">
        <v>73</v>
      </c>
      <c r="F43" t="str">
        <f ca="1">VLOOKUP(B39,MSG_Exist!$B$5:$K$22,MSG_Exist!J$1,FALSE)</f>
        <v>2005 686</v>
      </c>
    </row>
    <row r="44" spans="1:6" x14ac:dyDescent="0.25">
      <c r="C44" t="s">
        <v>68</v>
      </c>
      <c r="D44" t="s">
        <v>52</v>
      </c>
      <c r="E44">
        <f ca="1">VLOOKUP(B39,MSG_Exist!$B$5:$K$22,MSG_Exist!H$1,FALSE)</f>
        <v>0.99860000000000004</v>
      </c>
    </row>
    <row r="45" spans="1:6" x14ac:dyDescent="0.25">
      <c r="C45" t="s">
        <v>69</v>
      </c>
      <c r="D45" t="s">
        <v>74</v>
      </c>
      <c r="E45" t="s">
        <v>75</v>
      </c>
      <c r="F45">
        <f ca="1">VLOOKUP(B39,MSG_Exist!$B$5:$K$22,MSG_Exist!K$1,FALSE)</f>
        <v>0</v>
      </c>
    </row>
    <row r="46" spans="1:6" x14ac:dyDescent="0.25">
      <c r="B46" t="s">
        <v>71</v>
      </c>
    </row>
    <row r="47" spans="1:6" x14ac:dyDescent="0.25">
      <c r="A47" s="69">
        <f>A38+1</f>
        <v>6</v>
      </c>
      <c r="B47" t="s">
        <v>63</v>
      </c>
    </row>
    <row r="48" spans="1:6" x14ac:dyDescent="0.25">
      <c r="B48" t="str">
        <f ca="1">OFFSET(MSG_Exist!$B$4,A47,0)</f>
        <v>ELEXNGwNIw</v>
      </c>
      <c r="C48" t="str">
        <f ca="1">VLOOKUP(B48,MSG_Exist!$B$5:$O$92,MSG_Exist!E$1,FALSE)</f>
        <v>a</v>
      </c>
    </row>
    <row r="49" spans="1:6" x14ac:dyDescent="0.25">
      <c r="C49" t="s">
        <v>64</v>
      </c>
      <c r="D49" t="str">
        <f ca="1">VLOOKUP(VLOOKUP(B48,MSG_Exist!$B$5:$K$22,MSG_Exist!C$1,FALSE),energyforms!$B$2:$E$13,4,FALSE)</f>
        <v>e-J-NGw</v>
      </c>
      <c r="E49">
        <f ca="1">VLOOKUP(B48,MSG_Exist!$B$5:$K$22,MSG_Exist!F$1,FALSE)</f>
        <v>1</v>
      </c>
    </row>
    <row r="50" spans="1:6" x14ac:dyDescent="0.25">
      <c r="C50" t="s">
        <v>65</v>
      </c>
      <c r="D50" t="str">
        <f ca="1">VLOOKUP(VLOOKUP(B48,MSG_Exist!$B$5:$K$22,MSG_Exist!D$1,FALSE),energyforms!$B$2:$E$13,4,FALSE)</f>
        <v>e-I-NIw</v>
      </c>
      <c r="E50" t="s">
        <v>52</v>
      </c>
      <c r="F50">
        <f ca="1">VLOOKUP(B48,MSG_Exist!$B$5:$K$22,MSG_Exist!G$1,FALSE)</f>
        <v>0.9738</v>
      </c>
    </row>
    <row r="51" spans="1:6" x14ac:dyDescent="0.25">
      <c r="C51" t="s">
        <v>66</v>
      </c>
      <c r="D51" t="s">
        <v>52</v>
      </c>
      <c r="E51">
        <f ca="1">VLOOKUP(B48,MSG_Exist!$B$5:$K$22,MSG_Exist!I$1,FALSE)</f>
        <v>100</v>
      </c>
    </row>
    <row r="52" spans="1:6" x14ac:dyDescent="0.25">
      <c r="C52" t="s">
        <v>72</v>
      </c>
      <c r="D52">
        <v>0</v>
      </c>
      <c r="E52" t="s">
        <v>73</v>
      </c>
      <c r="F52" t="str">
        <f ca="1">VLOOKUP(B48,MSG_Exist!$B$5:$K$22,MSG_Exist!J$1,FALSE)</f>
        <v>2005 169.2</v>
      </c>
    </row>
    <row r="53" spans="1:6" x14ac:dyDescent="0.25">
      <c r="C53" t="s">
        <v>68</v>
      </c>
      <c r="D53" t="s">
        <v>52</v>
      </c>
      <c r="E53">
        <f ca="1">VLOOKUP(B48,MSG_Exist!$B$5:$K$22,MSG_Exist!H$1,FALSE)</f>
        <v>0.997</v>
      </c>
    </row>
    <row r="54" spans="1:6" x14ac:dyDescent="0.25">
      <c r="C54" t="s">
        <v>69</v>
      </c>
      <c r="D54" t="s">
        <v>74</v>
      </c>
      <c r="E54" t="s">
        <v>75</v>
      </c>
      <c r="F54">
        <f ca="1">VLOOKUP(B48,MSG_Exist!$B$5:$K$22,MSG_Exist!K$1,FALSE)</f>
        <v>0</v>
      </c>
    </row>
    <row r="55" spans="1:6" x14ac:dyDescent="0.25">
      <c r="B55" t="s">
        <v>71</v>
      </c>
    </row>
    <row r="56" spans="1:6" x14ac:dyDescent="0.25">
      <c r="A56" s="69">
        <f>A47+6</f>
        <v>12</v>
      </c>
      <c r="B56" t="s">
        <v>63</v>
      </c>
    </row>
    <row r="57" spans="1:6" x14ac:dyDescent="0.25">
      <c r="B57" t="str">
        <f ca="1">OFFSET(MSG_Exist!$B$4,A56,0)</f>
        <v>ELEXCIwGHw</v>
      </c>
      <c r="C57" t="str">
        <f ca="1">VLOOKUP(B57,MSG_Exist!$B$5:$O$92,MSG_Exist!E$1,FALSE)</f>
        <v>a</v>
      </c>
    </row>
    <row r="58" spans="1:6" x14ac:dyDescent="0.25">
      <c r="C58" t="s">
        <v>64</v>
      </c>
      <c r="D58" t="str">
        <f ca="1">VLOOKUP(VLOOKUP(B57,MSG_Exist!$B$5:$K$22,MSG_Exist!C$1,FALSE),energyforms!$B$2:$E$13,4,FALSE)</f>
        <v>e-B-CIw</v>
      </c>
      <c r="E58">
        <f ca="1">VLOOKUP(B57,MSG_Exist!$B$5:$K$22,MSG_Exist!F$1,FALSE)</f>
        <v>1</v>
      </c>
    </row>
    <row r="59" spans="1:6" x14ac:dyDescent="0.25">
      <c r="C59" t="s">
        <v>65</v>
      </c>
      <c r="D59" t="str">
        <f ca="1">VLOOKUP(VLOOKUP(B57,MSG_Exist!$B$5:$K$22,MSG_Exist!D$1,FALSE),energyforms!$B$2:$E$13,4,FALSE)</f>
        <v>e-D-GHw</v>
      </c>
      <c r="E59" t="s">
        <v>52</v>
      </c>
      <c r="F59">
        <f ca="1">VLOOKUP(B57,MSG_Exist!$B$5:$K$22,MSG_Exist!G$1,FALSE)</f>
        <v>0.96970000000000001</v>
      </c>
    </row>
    <row r="60" spans="1:6" x14ac:dyDescent="0.25">
      <c r="C60" t="s">
        <v>66</v>
      </c>
      <c r="D60" t="s">
        <v>52</v>
      </c>
      <c r="E60">
        <f ca="1">VLOOKUP(B57,MSG_Exist!$B$5:$K$22,MSG_Exist!I$1,FALSE)</f>
        <v>100</v>
      </c>
    </row>
    <row r="61" spans="1:6" x14ac:dyDescent="0.25">
      <c r="C61" t="s">
        <v>72</v>
      </c>
      <c r="D61">
        <v>0</v>
      </c>
      <c r="E61" t="s">
        <v>73</v>
      </c>
      <c r="F61" t="str">
        <f ca="1">VLOOKUP(B57,MSG_Exist!$B$5:$K$22,MSG_Exist!J$1,FALSE)</f>
        <v>2005 327</v>
      </c>
    </row>
    <row r="62" spans="1:6" x14ac:dyDescent="0.25">
      <c r="C62" t="s">
        <v>68</v>
      </c>
      <c r="D62" t="s">
        <v>52</v>
      </c>
      <c r="E62">
        <f ca="1">VLOOKUP(B57,MSG_Exist!$B$5:$K$22,MSG_Exist!H$1,FALSE)</f>
        <v>0.996</v>
      </c>
    </row>
    <row r="63" spans="1:6" x14ac:dyDescent="0.25">
      <c r="C63" t="s">
        <v>69</v>
      </c>
      <c r="D63" t="s">
        <v>74</v>
      </c>
      <c r="E63" t="s">
        <v>75</v>
      </c>
      <c r="F63">
        <f ca="1">VLOOKUP(B57,MSG_Exist!$B$5:$K$22,MSG_Exist!K$1,FALSE)</f>
        <v>0</v>
      </c>
    </row>
    <row r="64" spans="1:6" x14ac:dyDescent="0.25">
      <c r="B64" t="s">
        <v>71</v>
      </c>
    </row>
    <row r="65" spans="1:6" x14ac:dyDescent="0.25">
      <c r="A65" s="69">
        <f>A56+1</f>
        <v>13</v>
      </c>
      <c r="B65" t="s">
        <v>63</v>
      </c>
    </row>
    <row r="66" spans="1:6" x14ac:dyDescent="0.25">
      <c r="B66" t="str">
        <f ca="1">OFFSET(MSG_Exist!$B$4,A65,0)</f>
        <v>ELEXTBwGHw</v>
      </c>
      <c r="C66" t="str">
        <f ca="1">VLOOKUP(B66,MSG_Exist!$B$5:$O$92,MSG_Exist!E$1,FALSE)</f>
        <v>b</v>
      </c>
    </row>
    <row r="67" spans="1:6" x14ac:dyDescent="0.25">
      <c r="C67" t="s">
        <v>64</v>
      </c>
      <c r="D67" t="str">
        <f ca="1">VLOOKUP(VLOOKUP(B66,MSG_Exist!$B$5:$K$22,MSG_Exist!C$1,FALSE),energyforms!$B$2:$E$14,4,FALSE)</f>
        <v>e-M-TBw</v>
      </c>
      <c r="E67">
        <f ca="1">VLOOKUP(B66,MSG_Exist!$B$5:$K$22,MSG_Exist!F$1,FALSE)</f>
        <v>1</v>
      </c>
    </row>
    <row r="68" spans="1:6" x14ac:dyDescent="0.25">
      <c r="C68" t="s">
        <v>65</v>
      </c>
      <c r="D68" t="str">
        <f ca="1">VLOOKUP(VLOOKUP(B66,MSG_Exist!$B$5:$K$22,MSG_Exist!D$1,FALSE),energyforms!$B$2:$E$13,4,FALSE)</f>
        <v>e-D-GHw</v>
      </c>
      <c r="E68" t="s">
        <v>52</v>
      </c>
      <c r="F68">
        <f ca="1">VLOOKUP(B66,MSG_Exist!$B$5:$K$22,MSG_Exist!G$1,FALSE)</f>
        <v>0.97499999999999998</v>
      </c>
    </row>
    <row r="69" spans="1:6" x14ac:dyDescent="0.25">
      <c r="C69" t="s">
        <v>66</v>
      </c>
      <c r="D69" t="s">
        <v>52</v>
      </c>
      <c r="E69">
        <f ca="1">VLOOKUP(B66,MSG_Exist!$B$5:$K$22,MSG_Exist!I$1,FALSE)</f>
        <v>100</v>
      </c>
    </row>
    <row r="70" spans="1:6" x14ac:dyDescent="0.25">
      <c r="C70" t="s">
        <v>72</v>
      </c>
      <c r="D70">
        <v>0</v>
      </c>
      <c r="E70" t="s">
        <v>73</v>
      </c>
      <c r="F70" t="str">
        <f ca="1">VLOOKUP(B66,MSG_Exist!$B$5:$K$22,MSG_Exist!J$1,FALSE)</f>
        <v>2005 310</v>
      </c>
    </row>
    <row r="71" spans="1:6" x14ac:dyDescent="0.25">
      <c r="C71" t="s">
        <v>68</v>
      </c>
      <c r="D71" t="s">
        <v>52</v>
      </c>
      <c r="E71">
        <f ca="1">VLOOKUP(B66,MSG_Exist!$B$5:$K$22,MSG_Exist!H$1,FALSE)</f>
        <v>0.99829999999999997</v>
      </c>
    </row>
    <row r="72" spans="1:6" x14ac:dyDescent="0.25">
      <c r="C72" t="s">
        <v>69</v>
      </c>
      <c r="D72" t="s">
        <v>74</v>
      </c>
      <c r="E72" t="s">
        <v>75</v>
      </c>
      <c r="F72">
        <f ca="1">VLOOKUP(B66,MSG_Exist!$B$5:$K$22,MSG_Exist!K$1,FALSE)</f>
        <v>0</v>
      </c>
    </row>
    <row r="73" spans="1:6" x14ac:dyDescent="0.25">
      <c r="B73" t="s">
        <v>71</v>
      </c>
    </row>
    <row r="74" spans="1:6" x14ac:dyDescent="0.25">
      <c r="A74" s="69">
        <f>A65+1</f>
        <v>14</v>
      </c>
      <c r="B74" t="s">
        <v>63</v>
      </c>
    </row>
    <row r="75" spans="1:6" x14ac:dyDescent="0.25">
      <c r="B75" t="str">
        <f ca="1">OFFSET(MSG_Exist!$B$4,A74,0)</f>
        <v>ELEXMAwSEw</v>
      </c>
      <c r="C75" t="str">
        <f ca="1">VLOOKUP(B75,MSG_Exist!$B$5:$O$92,MSG_Exist!E$1,FALSE)</f>
        <v>a</v>
      </c>
    </row>
    <row r="76" spans="1:6" x14ac:dyDescent="0.25">
      <c r="C76" t="s">
        <v>64</v>
      </c>
      <c r="D76" t="str">
        <f ca="1">VLOOKUP(VLOOKUP(B75,MSG_Exist!$B$5:$K$22,MSG_Exist!C$1,FALSE),energyforms!$B$2:$E$13,4,FALSE)</f>
        <v>e-H-MAw</v>
      </c>
      <c r="E76">
        <f ca="1">VLOOKUP(B75,MSG_Exist!$B$5:$K$22,MSG_Exist!F$1,FALSE)</f>
        <v>1</v>
      </c>
    </row>
    <row r="77" spans="1:6" x14ac:dyDescent="0.25">
      <c r="C77" t="s">
        <v>65</v>
      </c>
      <c r="D77" t="str">
        <f ca="1">VLOOKUP(VLOOKUP(B75,MSG_Exist!$B$5:$K$22,MSG_Exist!D$1,FALSE),energyforms!$B$2:$E$13,4,FALSE)</f>
        <v>e-K-SEw</v>
      </c>
      <c r="E77" t="s">
        <v>52</v>
      </c>
      <c r="F77">
        <f ca="1">VLOOKUP(B75,MSG_Exist!$B$5:$K$22,MSG_Exist!G$1,FALSE)</f>
        <v>0.94540000000000002</v>
      </c>
    </row>
    <row r="78" spans="1:6" x14ac:dyDescent="0.25">
      <c r="C78" t="s">
        <v>66</v>
      </c>
      <c r="D78" t="s">
        <v>52</v>
      </c>
      <c r="E78">
        <f ca="1">VLOOKUP(B75,MSG_Exist!$B$5:$K$22,MSG_Exist!I$1,FALSE)</f>
        <v>100</v>
      </c>
    </row>
    <row r="79" spans="1:6" x14ac:dyDescent="0.25">
      <c r="C79" t="s">
        <v>72</v>
      </c>
      <c r="D79">
        <v>0</v>
      </c>
      <c r="E79" t="s">
        <v>73</v>
      </c>
      <c r="F79" t="str">
        <f ca="1">VLOOKUP(B75,MSG_Exist!$B$5:$K$22,MSG_Exist!J$1,FALSE)</f>
        <v>2005 100</v>
      </c>
    </row>
    <row r="80" spans="1:6" x14ac:dyDescent="0.25">
      <c r="C80" t="s">
        <v>68</v>
      </c>
      <c r="D80" t="s">
        <v>52</v>
      </c>
      <c r="E80">
        <f ca="1">VLOOKUP(B75,MSG_Exist!$B$5:$K$22,MSG_Exist!H$1,FALSE)</f>
        <v>0.97809999999999997</v>
      </c>
    </row>
    <row r="81" spans="1:6" x14ac:dyDescent="0.25">
      <c r="C81" t="s">
        <v>69</v>
      </c>
      <c r="D81" t="s">
        <v>74</v>
      </c>
      <c r="E81" t="s">
        <v>75</v>
      </c>
      <c r="F81">
        <f ca="1">VLOOKUP(B75,MSG_Exist!$B$5:$K$22,MSG_Exist!K$1,FALSE)</f>
        <v>0</v>
      </c>
    </row>
    <row r="82" spans="1:6" x14ac:dyDescent="0.25">
      <c r="B82" t="s">
        <v>71</v>
      </c>
    </row>
    <row r="83" spans="1:6" x14ac:dyDescent="0.25">
      <c r="A83" s="69">
        <f>A74+1</f>
        <v>15</v>
      </c>
      <c r="B83" t="s">
        <v>63</v>
      </c>
    </row>
    <row r="84" spans="1:6" x14ac:dyDescent="0.25">
      <c r="B84" t="str">
        <f ca="1">OFFSET(MSG_Exist!$B$4,A83,0)</f>
        <v>ELEXBUwCIw</v>
      </c>
      <c r="C84" t="str">
        <f ca="1">VLOOKUP(B84,MSG_Exist!$B$5:$O$92,MSG_Exist!E$1,FALSE)</f>
        <v>b</v>
      </c>
    </row>
    <row r="85" spans="1:6" x14ac:dyDescent="0.25">
      <c r="C85" t="s">
        <v>64</v>
      </c>
      <c r="D85" t="str">
        <f ca="1">VLOOKUP(VLOOKUP(B84,MSG_Exist!$B$5:$K$22,MSG_Exist!C$1,FALSE),energyforms!$B$2:$E$13,4,FALSE)</f>
        <v>e-A-BUw</v>
      </c>
      <c r="E85">
        <f ca="1">VLOOKUP(B84,MSG_Exist!$B$5:$K$22,MSG_Exist!F$1,FALSE)</f>
        <v>1</v>
      </c>
    </row>
    <row r="86" spans="1:6" x14ac:dyDescent="0.25">
      <c r="C86" t="s">
        <v>65</v>
      </c>
      <c r="D86" t="str">
        <f ca="1">VLOOKUP(VLOOKUP(B84,MSG_Exist!$B$5:$K$22,MSG_Exist!D$1,FALSE),energyforms!$B$2:$E$13,4,FALSE)</f>
        <v>e-B-CIw</v>
      </c>
      <c r="E86" t="s">
        <v>52</v>
      </c>
      <c r="F86">
        <f ca="1">VLOOKUP(B84,MSG_Exist!$B$5:$K$22,MSG_Exist!G$1,FALSE)</f>
        <v>0.96520000000000006</v>
      </c>
    </row>
    <row r="87" spans="1:6" x14ac:dyDescent="0.25">
      <c r="C87" t="s">
        <v>66</v>
      </c>
      <c r="D87" t="s">
        <v>52</v>
      </c>
      <c r="E87">
        <f ca="1">VLOOKUP(B84,MSG_Exist!$B$5:$K$22,MSG_Exist!I$1,FALSE)</f>
        <v>100</v>
      </c>
    </row>
    <row r="88" spans="1:6" x14ac:dyDescent="0.25">
      <c r="C88" t="s">
        <v>72</v>
      </c>
      <c r="D88">
        <v>0</v>
      </c>
      <c r="E88" t="s">
        <v>73</v>
      </c>
      <c r="F88" t="str">
        <f ca="1">VLOOKUP(B84,MSG_Exist!$B$5:$K$22,MSG_Exist!J$1,FALSE)</f>
        <v>2005 327</v>
      </c>
    </row>
    <row r="89" spans="1:6" x14ac:dyDescent="0.25">
      <c r="C89" t="s">
        <v>68</v>
      </c>
      <c r="D89" t="s">
        <v>52</v>
      </c>
      <c r="E89">
        <f ca="1">VLOOKUP(B84,MSG_Exist!$B$5:$K$22,MSG_Exist!H$1,FALSE)</f>
        <v>0.99590000000000001</v>
      </c>
    </row>
    <row r="90" spans="1:6" x14ac:dyDescent="0.25">
      <c r="C90" t="s">
        <v>69</v>
      </c>
      <c r="D90" t="s">
        <v>74</v>
      </c>
      <c r="E90" t="s">
        <v>75</v>
      </c>
      <c r="F90">
        <f ca="1">VLOOKUP(B84,MSG_Exist!$B$5:$K$22,MSG_Exist!K$1,FALSE)</f>
        <v>0</v>
      </c>
    </row>
    <row r="91" spans="1:6" x14ac:dyDescent="0.25">
      <c r="B91" t="s">
        <v>71</v>
      </c>
    </row>
    <row r="92" spans="1:6" x14ac:dyDescent="0.25">
      <c r="A92" s="69">
        <f>A83+1</f>
        <v>16</v>
      </c>
      <c r="B92" t="s">
        <v>63</v>
      </c>
    </row>
    <row r="93" spans="1:6" x14ac:dyDescent="0.25">
      <c r="B93" t="str">
        <f ca="1">OFFSET(MSG_Exist!$B$4,A92,0)</f>
        <v>ELEXTBwNGw</v>
      </c>
      <c r="C93" t="str">
        <f ca="1">VLOOKUP(B93,MSG_Exist!$B$5:$O$92,MSG_Exist!E$1,FALSE)</f>
        <v>a</v>
      </c>
    </row>
    <row r="94" spans="1:6" x14ac:dyDescent="0.25">
      <c r="C94" t="s">
        <v>64</v>
      </c>
      <c r="D94" t="str">
        <f ca="1">VLOOKUP(VLOOKUP(B93,MSG_Exist!$B$5:$K$22,MSG_Exist!C$1,FALSE),energyforms!$B$2:$E$14,4,FALSE)</f>
        <v>e-M-TBw</v>
      </c>
      <c r="E94">
        <f ca="1">VLOOKUP(B93,MSG_Exist!$B$5:$K$22,MSG_Exist!F$1,FALSE)</f>
        <v>1</v>
      </c>
    </row>
    <row r="95" spans="1:6" x14ac:dyDescent="0.25">
      <c r="C95" t="s">
        <v>65</v>
      </c>
      <c r="D95" t="str">
        <f ca="1">VLOOKUP(VLOOKUP(B93,MSG_Exist!$B$5:$K$22,MSG_Exist!D$1,FALSE),energyforms!$B$2:$E$13,4,FALSE)</f>
        <v>e-J-NGw</v>
      </c>
      <c r="E95" t="s">
        <v>52</v>
      </c>
      <c r="F95">
        <f ca="1">VLOOKUP(B93,MSG_Exist!$B$5:$K$22,MSG_Exist!G$1,FALSE)</f>
        <v>0.97499999999999998</v>
      </c>
    </row>
    <row r="96" spans="1:6" x14ac:dyDescent="0.25">
      <c r="C96" t="s">
        <v>66</v>
      </c>
      <c r="D96" t="s">
        <v>52</v>
      </c>
      <c r="E96">
        <f ca="1">VLOOKUP(B93,MSG_Exist!$B$5:$K$22,MSG_Exist!I$1,FALSE)</f>
        <v>100</v>
      </c>
    </row>
    <row r="97" spans="1:6" x14ac:dyDescent="0.25">
      <c r="C97" t="s">
        <v>72</v>
      </c>
      <c r="D97">
        <v>0</v>
      </c>
      <c r="E97" t="s">
        <v>73</v>
      </c>
      <c r="F97" t="str">
        <f ca="1">VLOOKUP(B93,MSG_Exist!$B$5:$K$22,MSG_Exist!J$1,FALSE)</f>
        <v>2005 686</v>
      </c>
    </row>
    <row r="98" spans="1:6" x14ac:dyDescent="0.25">
      <c r="C98" t="s">
        <v>68</v>
      </c>
      <c r="D98" t="s">
        <v>52</v>
      </c>
      <c r="E98">
        <f ca="1">VLOOKUP(B93,MSG_Exist!$B$5:$K$22,MSG_Exist!H$1,FALSE)</f>
        <v>0.99860000000000004</v>
      </c>
    </row>
    <row r="99" spans="1:6" x14ac:dyDescent="0.25">
      <c r="C99" t="s">
        <v>69</v>
      </c>
      <c r="D99" t="s">
        <v>74</v>
      </c>
      <c r="E99" t="s">
        <v>75</v>
      </c>
      <c r="F99">
        <f ca="1">VLOOKUP(B93,MSG_Exist!$B$5:$K$22,MSG_Exist!K$1,FALSE)</f>
        <v>0</v>
      </c>
    </row>
    <row r="100" spans="1:6" x14ac:dyDescent="0.25">
      <c r="B100" t="s">
        <v>71</v>
      </c>
    </row>
    <row r="101" spans="1:6" x14ac:dyDescent="0.25">
      <c r="A101" s="69">
        <f>A92+1</f>
        <v>17</v>
      </c>
      <c r="B101" t="s">
        <v>63</v>
      </c>
    </row>
    <row r="102" spans="1:6" x14ac:dyDescent="0.25">
      <c r="B102" t="str">
        <f ca="1">OFFSET(MSG_Exist!$B$4,A101,0)</f>
        <v>ELEXNIwNGw</v>
      </c>
      <c r="C102" t="str">
        <f ca="1">VLOOKUP(B102,MSG_Exist!$B$5:$O$92,MSG_Exist!E$1,FALSE)</f>
        <v>b</v>
      </c>
    </row>
    <row r="103" spans="1:6" x14ac:dyDescent="0.25">
      <c r="C103" t="s">
        <v>64</v>
      </c>
      <c r="D103" t="str">
        <f ca="1">VLOOKUP(VLOOKUP(B102,MSG_Exist!$B$5:$K$22,MSG_Exist!C$1,FALSE),energyforms!$B$2:$E$14,4,FALSE)</f>
        <v>e-I-NIw</v>
      </c>
      <c r="E103">
        <f ca="1">VLOOKUP(B102,MSG_Exist!$B$5:$K$22,MSG_Exist!F$1,FALSE)</f>
        <v>1</v>
      </c>
    </row>
    <row r="104" spans="1:6" x14ac:dyDescent="0.25">
      <c r="C104" t="s">
        <v>65</v>
      </c>
      <c r="D104" t="str">
        <f ca="1">VLOOKUP(VLOOKUP(B102,MSG_Exist!$B$5:$K$22,MSG_Exist!D$1,FALSE),energyforms!$B$2:$E$13,4,FALSE)</f>
        <v>e-J-NGw</v>
      </c>
      <c r="E104" t="s">
        <v>52</v>
      </c>
      <c r="F104">
        <f ca="1">VLOOKUP(B102,MSG_Exist!$B$5:$K$22,MSG_Exist!G$1,FALSE)</f>
        <v>0.9738</v>
      </c>
    </row>
    <row r="105" spans="1:6" x14ac:dyDescent="0.25">
      <c r="C105" t="s">
        <v>66</v>
      </c>
      <c r="D105" t="s">
        <v>52</v>
      </c>
      <c r="E105">
        <f ca="1">VLOOKUP(B102,MSG_Exist!$B$5:$K$22,MSG_Exist!I$1,FALSE)</f>
        <v>100</v>
      </c>
    </row>
    <row r="106" spans="1:6" x14ac:dyDescent="0.25">
      <c r="C106" t="s">
        <v>72</v>
      </c>
      <c r="D106">
        <v>0</v>
      </c>
      <c r="E106" t="s">
        <v>73</v>
      </c>
      <c r="F106" t="str">
        <f ca="1">VLOOKUP(B102,MSG_Exist!$B$5:$K$22,MSG_Exist!J$1,FALSE)</f>
        <v>2005 169.2</v>
      </c>
    </row>
    <row r="107" spans="1:6" x14ac:dyDescent="0.25">
      <c r="C107" t="s">
        <v>68</v>
      </c>
      <c r="D107" t="s">
        <v>52</v>
      </c>
      <c r="E107">
        <f ca="1">VLOOKUP(B102,MSG_Exist!$B$5:$K$22,MSG_Exist!H$1,FALSE)</f>
        <v>0.997</v>
      </c>
    </row>
    <row r="108" spans="1:6" x14ac:dyDescent="0.25">
      <c r="C108" t="s">
        <v>69</v>
      </c>
      <c r="D108" t="s">
        <v>74</v>
      </c>
      <c r="E108" t="s">
        <v>75</v>
      </c>
      <c r="F108">
        <f ca="1">VLOOKUP(B102,MSG_Exist!$B$5:$K$22,MSG_Exist!K$1,FALSE)</f>
        <v>0</v>
      </c>
    </row>
    <row r="109" spans="1:6" x14ac:dyDescent="0.25">
      <c r="B109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109"/>
  <sheetViews>
    <sheetView workbookViewId="0"/>
  </sheetViews>
  <sheetFormatPr defaultRowHeight="15" x14ac:dyDescent="0.25"/>
  <sheetData>
    <row r="2" spans="1:1" x14ac:dyDescent="0.25">
      <c r="A2" t="str">
        <f>adb_exist!B2</f>
        <v>*</v>
      </c>
    </row>
    <row r="3" spans="1:1" x14ac:dyDescent="0.25">
      <c r="A3" t="str">
        <f ca="1">adb_exist!B3&amp;" "&amp;adb_exist!C3</f>
        <v>ELEXGHwCIw a</v>
      </c>
    </row>
    <row r="4" spans="1:1" x14ac:dyDescent="0.25">
      <c r="A4" t="str">
        <f ca="1">adb_exist!B4&amp;" "&amp;adb_exist!C4&amp;" "&amp;adb_exist!D4&amp;" "&amp;adb_exist!E4</f>
        <v xml:space="preserve"> minp e-D-GHw 1</v>
      </c>
    </row>
    <row r="5" spans="1:1" x14ac:dyDescent="0.25">
      <c r="A5" t="str">
        <f ca="1">adb_exist!B5&amp;" "&amp;adb_exist!C5&amp;" "&amp;adb_exist!D5&amp;" "&amp;adb_exist!E5&amp;" "&amp;adb_exist!F5</f>
        <v xml:space="preserve"> moutp e-B-CIw c 0.9697</v>
      </c>
    </row>
    <row r="6" spans="1:1" x14ac:dyDescent="0.25">
      <c r="A6" t="str">
        <f ca="1">adb_exist!B6&amp;" "&amp;adb_exist!C6&amp;" "&amp;adb_exist!D6&amp;" "&amp;adb_exist!E6&amp;" "&amp;adb_exist!F6</f>
        <v xml:space="preserve"> pll c 100 </v>
      </c>
    </row>
    <row r="7" spans="1:1" x14ac:dyDescent="0.25">
      <c r="A7" t="str">
        <f ca="1">adb_exist!B7&amp;" "&amp;adb_exist!C7&amp;" "&amp;adb_exist!D7&amp;" "&amp;adb_exist!E7&amp;" "&amp;adb_exist!F7</f>
        <v xml:space="preserve"> hisc 0 hc 2005 327</v>
      </c>
    </row>
    <row r="8" spans="1:1" x14ac:dyDescent="0.25">
      <c r="A8" t="str">
        <f ca="1">adb_exist!B8&amp;" "&amp;adb_exist!C8&amp;" "&amp;adb_exist!D8&amp;" "&amp;adb_exist!E8&amp;" "&amp;adb_exist!F8</f>
        <v xml:space="preserve"> optm c 0.996 </v>
      </c>
    </row>
    <row r="9" spans="1:1" x14ac:dyDescent="0.25">
      <c r="A9" t="str">
        <f ca="1">adb_exist!B9&amp;" "&amp;adb_exist!C9&amp;" "&amp;adb_exist!D9&amp;" "&amp;adb_exist!E9&amp;" "&amp;adb_exist!F9</f>
        <v xml:space="preserve"> bdc up ts 0</v>
      </c>
    </row>
    <row r="10" spans="1:1" x14ac:dyDescent="0.25">
      <c r="A10" t="str">
        <f>adb_exist!B10</f>
        <v>#</v>
      </c>
    </row>
    <row r="11" spans="1:1" x14ac:dyDescent="0.25">
      <c r="A11" t="str">
        <f>adb_exist!B11</f>
        <v>*</v>
      </c>
    </row>
    <row r="12" spans="1:1" x14ac:dyDescent="0.25">
      <c r="A12" t="str">
        <f ca="1">adb_exist!B12&amp;" "&amp;adb_exist!C12</f>
        <v>ELEXGHwTBw a</v>
      </c>
    </row>
    <row r="13" spans="1:1" x14ac:dyDescent="0.25">
      <c r="A13" t="str">
        <f ca="1">adb_exist!B13&amp;" "&amp;adb_exist!C13&amp;" "&amp;adb_exist!D13&amp;" "&amp;adb_exist!E13</f>
        <v xml:space="preserve"> minp e-D-GHw 1</v>
      </c>
    </row>
    <row r="14" spans="1:1" x14ac:dyDescent="0.25">
      <c r="A14" t="str">
        <f ca="1">adb_exist!B14&amp;" "&amp;adb_exist!C14&amp;" "&amp;adb_exist!D14&amp;" "&amp;adb_exist!E14&amp;" "&amp;adb_exist!F14</f>
        <v xml:space="preserve"> moutp e-M-TBw c 0.975</v>
      </c>
    </row>
    <row r="15" spans="1:1" x14ac:dyDescent="0.25">
      <c r="A15" t="str">
        <f ca="1">adb_exist!B15&amp;" "&amp;adb_exist!C15&amp;" "&amp;adb_exist!D15&amp;" "&amp;adb_exist!E15&amp;" "&amp;adb_exist!F15</f>
        <v xml:space="preserve"> pll c 100 </v>
      </c>
    </row>
    <row r="16" spans="1:1" x14ac:dyDescent="0.25">
      <c r="A16" t="str">
        <f ca="1">adb_exist!B16&amp;" "&amp;adb_exist!C16&amp;" "&amp;adb_exist!D16&amp;" "&amp;adb_exist!E16&amp;" "&amp;adb_exist!F16</f>
        <v xml:space="preserve"> hisc 0 hc 2005 310</v>
      </c>
    </row>
    <row r="17" spans="1:1" x14ac:dyDescent="0.25">
      <c r="A17" t="str">
        <f ca="1">adb_exist!B17&amp;" "&amp;adb_exist!C17&amp;" "&amp;adb_exist!D17&amp;" "&amp;adb_exist!E17&amp;" "&amp;adb_exist!F17</f>
        <v xml:space="preserve"> optm c 0.9983 </v>
      </c>
    </row>
    <row r="18" spans="1:1" x14ac:dyDescent="0.25">
      <c r="A18" t="str">
        <f ca="1">adb_exist!B18&amp;" "&amp;adb_exist!C18&amp;" "&amp;adb_exist!D18&amp;" "&amp;adb_exist!E18&amp;" "&amp;adb_exist!F18</f>
        <v xml:space="preserve"> bdc up ts 0</v>
      </c>
    </row>
    <row r="19" spans="1:1" x14ac:dyDescent="0.25">
      <c r="A19" t="str">
        <f>adb_exist!B19</f>
        <v>#</v>
      </c>
    </row>
    <row r="20" spans="1:1" x14ac:dyDescent="0.25">
      <c r="A20" t="str">
        <f>adb_exist!B20</f>
        <v>*</v>
      </c>
    </row>
    <row r="21" spans="1:1" x14ac:dyDescent="0.25">
      <c r="A21" t="str">
        <f ca="1">adb_exist!B21&amp;" "&amp;adb_exist!C21</f>
        <v>ELEXSEwMAw a</v>
      </c>
    </row>
    <row r="22" spans="1:1" x14ac:dyDescent="0.25">
      <c r="A22" t="str">
        <f ca="1">adb_exist!B22&amp;" "&amp;adb_exist!C22&amp;" "&amp;adb_exist!D22&amp;" "&amp;adb_exist!E22</f>
        <v xml:space="preserve"> minp e-K-SEw 1</v>
      </c>
    </row>
    <row r="23" spans="1:1" x14ac:dyDescent="0.25">
      <c r="A23" t="str">
        <f ca="1">adb_exist!B23&amp;" "&amp;adb_exist!C23&amp;" "&amp;adb_exist!D23&amp;" "&amp;adb_exist!E23&amp;" "&amp;adb_exist!F23</f>
        <v xml:space="preserve"> moutp e-H-MAw c 0.9454</v>
      </c>
    </row>
    <row r="24" spans="1:1" x14ac:dyDescent="0.25">
      <c r="A24" t="str">
        <f ca="1">adb_exist!B24&amp;" "&amp;adb_exist!C24&amp;" "&amp;adb_exist!D24&amp;" "&amp;adb_exist!E24&amp;" "&amp;adb_exist!F24</f>
        <v xml:space="preserve"> pll c 100 </v>
      </c>
    </row>
    <row r="25" spans="1:1" x14ac:dyDescent="0.25">
      <c r="A25" t="str">
        <f ca="1">adb_exist!B25&amp;" "&amp;adb_exist!C25&amp;" "&amp;adb_exist!D25&amp;" "&amp;adb_exist!E25&amp;" "&amp;adb_exist!F25</f>
        <v xml:space="preserve"> hisc 0 hc 2005 100</v>
      </c>
    </row>
    <row r="26" spans="1:1" x14ac:dyDescent="0.25">
      <c r="A26" t="str">
        <f ca="1">adb_exist!B26&amp;" "&amp;adb_exist!C26&amp;" "&amp;adb_exist!D26&amp;" "&amp;adb_exist!E26&amp;" "&amp;adb_exist!F26</f>
        <v xml:space="preserve"> optm c 0.9781 </v>
      </c>
    </row>
    <row r="27" spans="1:1" x14ac:dyDescent="0.25">
      <c r="A27" t="str">
        <f ca="1">adb_exist!B27&amp;" "&amp;adb_exist!C27&amp;" "&amp;adb_exist!D27&amp;" "&amp;adb_exist!E27&amp;" "&amp;adb_exist!F27</f>
        <v xml:space="preserve"> bdc up ts 0</v>
      </c>
    </row>
    <row r="28" spans="1:1" x14ac:dyDescent="0.25">
      <c r="A28" t="str">
        <f>adb_exist!B28</f>
        <v>#</v>
      </c>
    </row>
    <row r="29" spans="1:1" x14ac:dyDescent="0.25">
      <c r="A29" t="str">
        <f>adb_exist!B29</f>
        <v>*</v>
      </c>
    </row>
    <row r="30" spans="1:1" x14ac:dyDescent="0.25">
      <c r="A30" t="str">
        <f ca="1">adb_exist!B30&amp;" "&amp;adb_exist!C30</f>
        <v>ELEXCIwBUw a</v>
      </c>
    </row>
    <row r="31" spans="1:1" x14ac:dyDescent="0.25">
      <c r="A31" t="str">
        <f ca="1">adb_exist!B31&amp;" "&amp;adb_exist!C31&amp;" "&amp;adb_exist!D31&amp;" "&amp;adb_exist!E31</f>
        <v xml:space="preserve"> minp e-B-CIw 1</v>
      </c>
    </row>
    <row r="32" spans="1:1" x14ac:dyDescent="0.25">
      <c r="A32" t="str">
        <f ca="1">adb_exist!B32&amp;" "&amp;adb_exist!C32&amp;" "&amp;adb_exist!D32&amp;" "&amp;adb_exist!E32&amp;" "&amp;adb_exist!F32</f>
        <v xml:space="preserve"> moutp e-A-BUw c 0.9652</v>
      </c>
    </row>
    <row r="33" spans="1:1" x14ac:dyDescent="0.25">
      <c r="A33" t="str">
        <f ca="1">adb_exist!B33&amp;" "&amp;adb_exist!C33&amp;" "&amp;adb_exist!D33&amp;" "&amp;adb_exist!E33&amp;" "&amp;adb_exist!F33</f>
        <v xml:space="preserve"> pll c 100 </v>
      </c>
    </row>
    <row r="34" spans="1:1" x14ac:dyDescent="0.25">
      <c r="A34" t="str">
        <f ca="1">adb_exist!B34&amp;" "&amp;adb_exist!C34&amp;" "&amp;adb_exist!D34&amp;" "&amp;adb_exist!E34&amp;" "&amp;adb_exist!F34</f>
        <v xml:space="preserve"> hisc 0 hc 2005 327</v>
      </c>
    </row>
    <row r="35" spans="1:1" x14ac:dyDescent="0.25">
      <c r="A35" t="str">
        <f ca="1">adb_exist!B35&amp;" "&amp;adb_exist!C35&amp;" "&amp;adb_exist!D35&amp;" "&amp;adb_exist!E35&amp;" "&amp;adb_exist!F35</f>
        <v xml:space="preserve"> optm c 0.9959 </v>
      </c>
    </row>
    <row r="36" spans="1:1" x14ac:dyDescent="0.25">
      <c r="A36" t="str">
        <f ca="1">adb_exist!B36&amp;" "&amp;adb_exist!C36&amp;" "&amp;adb_exist!D36&amp;" "&amp;adb_exist!E36&amp;" "&amp;adb_exist!F36</f>
        <v xml:space="preserve"> bdc up ts 0</v>
      </c>
    </row>
    <row r="37" spans="1:1" x14ac:dyDescent="0.25">
      <c r="A37" t="str">
        <f>adb_exist!B37</f>
        <v>#</v>
      </c>
    </row>
    <row r="38" spans="1:1" x14ac:dyDescent="0.25">
      <c r="A38" t="str">
        <f>adb_exist!B38</f>
        <v>*</v>
      </c>
    </row>
    <row r="39" spans="1:1" x14ac:dyDescent="0.25">
      <c r="A39" t="str">
        <f ca="1">adb_exist!B39&amp;" "&amp;adb_exist!C39</f>
        <v>ELEXNGwTBw b</v>
      </c>
    </row>
    <row r="40" spans="1:1" x14ac:dyDescent="0.25">
      <c r="A40" t="str">
        <f ca="1">adb_exist!B40&amp;" "&amp;adb_exist!C40&amp;" "&amp;adb_exist!D40&amp;" "&amp;adb_exist!E40</f>
        <v xml:space="preserve"> minp e-J-NGw 1</v>
      </c>
    </row>
    <row r="41" spans="1:1" x14ac:dyDescent="0.25">
      <c r="A41" t="str">
        <f ca="1">adb_exist!B41&amp;" "&amp;adb_exist!C41&amp;" "&amp;adb_exist!D41&amp;" "&amp;adb_exist!E41&amp;" "&amp;adb_exist!F41</f>
        <v xml:space="preserve"> moutp e-M-TBw c 0.975</v>
      </c>
    </row>
    <row r="42" spans="1:1" x14ac:dyDescent="0.25">
      <c r="A42" t="str">
        <f ca="1">adb_exist!B42&amp;" "&amp;adb_exist!C42&amp;" "&amp;adb_exist!D42&amp;" "&amp;adb_exist!E42&amp;" "&amp;adb_exist!F42</f>
        <v xml:space="preserve"> pll c 100 </v>
      </c>
    </row>
    <row r="43" spans="1:1" x14ac:dyDescent="0.25">
      <c r="A43" t="str">
        <f ca="1">adb_exist!B43&amp;" "&amp;adb_exist!C43&amp;" "&amp;adb_exist!D43&amp;" "&amp;adb_exist!E43&amp;" "&amp;adb_exist!F43</f>
        <v xml:space="preserve"> hisc 0 hc 2005 686</v>
      </c>
    </row>
    <row r="44" spans="1:1" x14ac:dyDescent="0.25">
      <c r="A44" t="str">
        <f ca="1">adb_exist!B44&amp;" "&amp;adb_exist!C44&amp;" "&amp;adb_exist!D44&amp;" "&amp;adb_exist!E44&amp;" "&amp;adb_exist!F44</f>
        <v xml:space="preserve"> optm c 0.9986 </v>
      </c>
    </row>
    <row r="45" spans="1:1" x14ac:dyDescent="0.25">
      <c r="A45" t="str">
        <f ca="1">adb_exist!B45&amp;" "&amp;adb_exist!C45&amp;" "&amp;adb_exist!D45&amp;" "&amp;adb_exist!E45&amp;" "&amp;adb_exist!F45</f>
        <v xml:space="preserve"> bdc up ts 0</v>
      </c>
    </row>
    <row r="46" spans="1:1" x14ac:dyDescent="0.25">
      <c r="A46" t="str">
        <f>adb_exist!B46</f>
        <v>#</v>
      </c>
    </row>
    <row r="47" spans="1:1" x14ac:dyDescent="0.25">
      <c r="A47" t="str">
        <f>adb_exist!B47</f>
        <v>*</v>
      </c>
    </row>
    <row r="48" spans="1:1" x14ac:dyDescent="0.25">
      <c r="A48" t="str">
        <f ca="1">adb_exist!B48&amp;" "&amp;adb_exist!C48</f>
        <v>ELEXNGwNIw a</v>
      </c>
    </row>
    <row r="49" spans="1:1" x14ac:dyDescent="0.25">
      <c r="A49" t="str">
        <f ca="1">adb_exist!B49&amp;" "&amp;adb_exist!C49&amp;" "&amp;adb_exist!D49&amp;" "&amp;adb_exist!E49</f>
        <v xml:space="preserve"> minp e-J-NGw 1</v>
      </c>
    </row>
    <row r="50" spans="1:1" x14ac:dyDescent="0.25">
      <c r="A50" t="str">
        <f ca="1">adb_exist!B50&amp;" "&amp;adb_exist!C50&amp;" "&amp;adb_exist!D50&amp;" "&amp;adb_exist!E50&amp;" "&amp;adb_exist!F50</f>
        <v xml:space="preserve"> moutp e-I-NIw c 0.9738</v>
      </c>
    </row>
    <row r="51" spans="1:1" x14ac:dyDescent="0.25">
      <c r="A51" t="str">
        <f ca="1">adb_exist!B51&amp;" "&amp;adb_exist!C51&amp;" "&amp;adb_exist!D51&amp;" "&amp;adb_exist!E51&amp;" "&amp;adb_exist!F51</f>
        <v xml:space="preserve"> pll c 100 </v>
      </c>
    </row>
    <row r="52" spans="1:1" x14ac:dyDescent="0.25">
      <c r="A52" t="str">
        <f ca="1">adb_exist!B52&amp;" "&amp;adb_exist!C52&amp;" "&amp;adb_exist!D52&amp;" "&amp;adb_exist!E52&amp;" "&amp;adb_exist!F52</f>
        <v xml:space="preserve"> hisc 0 hc 2005 169.2</v>
      </c>
    </row>
    <row r="53" spans="1:1" x14ac:dyDescent="0.25">
      <c r="A53" t="str">
        <f ca="1">adb_exist!B53&amp;" "&amp;adb_exist!C53&amp;" "&amp;adb_exist!D53&amp;" "&amp;adb_exist!E53&amp;" "&amp;adb_exist!F53</f>
        <v xml:space="preserve"> optm c 0.997 </v>
      </c>
    </row>
    <row r="54" spans="1:1" x14ac:dyDescent="0.25">
      <c r="A54" t="str">
        <f ca="1">adb_exist!B54&amp;" "&amp;adb_exist!C54&amp;" "&amp;adb_exist!D54&amp;" "&amp;adb_exist!E54&amp;" "&amp;adb_exist!F54</f>
        <v xml:space="preserve"> bdc up ts 0</v>
      </c>
    </row>
    <row r="55" spans="1:1" x14ac:dyDescent="0.25">
      <c r="A55" t="str">
        <f>adb_exist!B55</f>
        <v>#</v>
      </c>
    </row>
    <row r="56" spans="1:1" x14ac:dyDescent="0.25">
      <c r="A56" t="str">
        <f>adb_exist!B56</f>
        <v>*</v>
      </c>
    </row>
    <row r="57" spans="1:1" x14ac:dyDescent="0.25">
      <c r="A57" t="str">
        <f ca="1">adb_exist!B57&amp;" "&amp;adb_exist!C57</f>
        <v>ELEXCIwGHw a</v>
      </c>
    </row>
    <row r="58" spans="1:1" x14ac:dyDescent="0.25">
      <c r="A58" t="str">
        <f ca="1">adb_exist!B58&amp;" "&amp;adb_exist!C58&amp;" "&amp;adb_exist!D58&amp;" "&amp;adb_exist!E58</f>
        <v xml:space="preserve"> minp e-B-CIw 1</v>
      </c>
    </row>
    <row r="59" spans="1:1" x14ac:dyDescent="0.25">
      <c r="A59" t="str">
        <f ca="1">adb_exist!B59&amp;" "&amp;adb_exist!C59&amp;" "&amp;adb_exist!D59&amp;" "&amp;adb_exist!E59&amp;" "&amp;adb_exist!F59</f>
        <v xml:space="preserve"> moutp e-D-GHw c 0.9697</v>
      </c>
    </row>
    <row r="60" spans="1:1" x14ac:dyDescent="0.25">
      <c r="A60" t="str">
        <f ca="1">adb_exist!B60&amp;" "&amp;adb_exist!C60&amp;" "&amp;adb_exist!D60&amp;" "&amp;adb_exist!E60&amp;" "&amp;adb_exist!F60</f>
        <v xml:space="preserve"> pll c 100 </v>
      </c>
    </row>
    <row r="61" spans="1:1" x14ac:dyDescent="0.25">
      <c r="A61" t="str">
        <f ca="1">adb_exist!B61&amp;" "&amp;adb_exist!C61&amp;" "&amp;adb_exist!D61&amp;" "&amp;adb_exist!E61&amp;" "&amp;adb_exist!F61</f>
        <v xml:space="preserve"> hisc 0 hc 2005 327</v>
      </c>
    </row>
    <row r="62" spans="1:1" x14ac:dyDescent="0.25">
      <c r="A62" t="str">
        <f ca="1">adb_exist!B62&amp;" "&amp;adb_exist!C62&amp;" "&amp;adb_exist!D62&amp;" "&amp;adb_exist!E62&amp;" "&amp;adb_exist!F62</f>
        <v xml:space="preserve"> optm c 0.996 </v>
      </c>
    </row>
    <row r="63" spans="1:1" x14ac:dyDescent="0.25">
      <c r="A63" t="str">
        <f ca="1">adb_exist!B63&amp;" "&amp;adb_exist!C63&amp;" "&amp;adb_exist!D63&amp;" "&amp;adb_exist!E63&amp;" "&amp;adb_exist!F63</f>
        <v xml:space="preserve"> bdc up ts 0</v>
      </c>
    </row>
    <row r="64" spans="1:1" x14ac:dyDescent="0.25">
      <c r="A64" t="str">
        <f>adb_exist!B64</f>
        <v>#</v>
      </c>
    </row>
    <row r="65" spans="1:1" x14ac:dyDescent="0.25">
      <c r="A65" t="str">
        <f>adb_exist!B65</f>
        <v>*</v>
      </c>
    </row>
    <row r="66" spans="1:1" x14ac:dyDescent="0.25">
      <c r="A66" t="str">
        <f ca="1">adb_exist!B66&amp;" "&amp;adb_exist!C66</f>
        <v>ELEXTBwGHw b</v>
      </c>
    </row>
    <row r="67" spans="1:1" x14ac:dyDescent="0.25">
      <c r="A67" t="str">
        <f ca="1">adb_exist!B67&amp;" "&amp;adb_exist!C67&amp;" "&amp;adb_exist!D67&amp;" "&amp;adb_exist!E67</f>
        <v xml:space="preserve"> minp e-M-TBw 1</v>
      </c>
    </row>
    <row r="68" spans="1:1" x14ac:dyDescent="0.25">
      <c r="A68" t="str">
        <f ca="1">adb_exist!B68&amp;" "&amp;adb_exist!C68&amp;" "&amp;adb_exist!D68&amp;" "&amp;adb_exist!E68&amp;" "&amp;adb_exist!F68</f>
        <v xml:space="preserve"> moutp e-D-GHw c 0.975</v>
      </c>
    </row>
    <row r="69" spans="1:1" x14ac:dyDescent="0.25">
      <c r="A69" t="str">
        <f ca="1">adb_exist!B69&amp;" "&amp;adb_exist!C69&amp;" "&amp;adb_exist!D69&amp;" "&amp;adb_exist!E69&amp;" "&amp;adb_exist!F69</f>
        <v xml:space="preserve"> pll c 100 </v>
      </c>
    </row>
    <row r="70" spans="1:1" x14ac:dyDescent="0.25">
      <c r="A70" t="str">
        <f ca="1">adb_exist!B70&amp;" "&amp;adb_exist!C70&amp;" "&amp;adb_exist!D70&amp;" "&amp;adb_exist!E70&amp;" "&amp;adb_exist!F70</f>
        <v xml:space="preserve"> hisc 0 hc 2005 310</v>
      </c>
    </row>
    <row r="71" spans="1:1" x14ac:dyDescent="0.25">
      <c r="A71" t="str">
        <f ca="1">adb_exist!B71&amp;" "&amp;adb_exist!C71&amp;" "&amp;adb_exist!D71&amp;" "&amp;adb_exist!E71&amp;" "&amp;adb_exist!F71</f>
        <v xml:space="preserve"> optm c 0.9983 </v>
      </c>
    </row>
    <row r="72" spans="1:1" x14ac:dyDescent="0.25">
      <c r="A72" t="str">
        <f ca="1">adb_exist!B72&amp;" "&amp;adb_exist!C72&amp;" "&amp;adb_exist!D72&amp;" "&amp;adb_exist!E72&amp;" "&amp;adb_exist!F72</f>
        <v xml:space="preserve"> bdc up ts 0</v>
      </c>
    </row>
    <row r="73" spans="1:1" x14ac:dyDescent="0.25">
      <c r="A73" t="str">
        <f>adb_exist!B73</f>
        <v>#</v>
      </c>
    </row>
    <row r="74" spans="1:1" x14ac:dyDescent="0.25">
      <c r="A74" t="str">
        <f>adb_exist!B74</f>
        <v>*</v>
      </c>
    </row>
    <row r="75" spans="1:1" x14ac:dyDescent="0.25">
      <c r="A75" t="str">
        <f ca="1">adb_exist!B75&amp;" "&amp;adb_exist!C75</f>
        <v>ELEXMAwSEw a</v>
      </c>
    </row>
    <row r="76" spans="1:1" x14ac:dyDescent="0.25">
      <c r="A76" t="str">
        <f ca="1">adb_exist!B76&amp;" "&amp;adb_exist!C76&amp;" "&amp;adb_exist!D76&amp;" "&amp;adb_exist!E76</f>
        <v xml:space="preserve"> minp e-H-MAw 1</v>
      </c>
    </row>
    <row r="77" spans="1:1" x14ac:dyDescent="0.25">
      <c r="A77" t="str">
        <f ca="1">adb_exist!B77&amp;" "&amp;adb_exist!C77&amp;" "&amp;adb_exist!D77&amp;" "&amp;adb_exist!E77&amp;" "&amp;adb_exist!F77</f>
        <v xml:space="preserve"> moutp e-K-SEw c 0.9454</v>
      </c>
    </row>
    <row r="78" spans="1:1" x14ac:dyDescent="0.25">
      <c r="A78" t="str">
        <f ca="1">adb_exist!B78&amp;" "&amp;adb_exist!C78&amp;" "&amp;adb_exist!D78&amp;" "&amp;adb_exist!E78&amp;" "&amp;adb_exist!F78</f>
        <v xml:space="preserve"> pll c 100 </v>
      </c>
    </row>
    <row r="79" spans="1:1" x14ac:dyDescent="0.25">
      <c r="A79" t="str">
        <f ca="1">adb_exist!B79&amp;" "&amp;adb_exist!C79&amp;" "&amp;adb_exist!D79&amp;" "&amp;adb_exist!E79&amp;" "&amp;adb_exist!F79</f>
        <v xml:space="preserve"> hisc 0 hc 2005 100</v>
      </c>
    </row>
    <row r="80" spans="1:1" x14ac:dyDescent="0.25">
      <c r="A80" t="str">
        <f ca="1">adb_exist!B80&amp;" "&amp;adb_exist!C80&amp;" "&amp;adb_exist!D80&amp;" "&amp;adb_exist!E80&amp;" "&amp;adb_exist!F80</f>
        <v xml:space="preserve"> optm c 0.9781 </v>
      </c>
    </row>
    <row r="81" spans="1:1" x14ac:dyDescent="0.25">
      <c r="A81" t="str">
        <f ca="1">adb_exist!B81&amp;" "&amp;adb_exist!C81&amp;" "&amp;adb_exist!D81&amp;" "&amp;adb_exist!E81&amp;" "&amp;adb_exist!F81</f>
        <v xml:space="preserve"> bdc up ts 0</v>
      </c>
    </row>
    <row r="82" spans="1:1" x14ac:dyDescent="0.25">
      <c r="A82" t="str">
        <f>adb_exist!B82</f>
        <v>#</v>
      </c>
    </row>
    <row r="83" spans="1:1" x14ac:dyDescent="0.25">
      <c r="A83" t="str">
        <f>adb_exist!B83</f>
        <v>*</v>
      </c>
    </row>
    <row r="84" spans="1:1" x14ac:dyDescent="0.25">
      <c r="A84" t="str">
        <f ca="1">adb_exist!B84&amp;" "&amp;adb_exist!C84</f>
        <v>ELEXBUwCIw b</v>
      </c>
    </row>
    <row r="85" spans="1:1" x14ac:dyDescent="0.25">
      <c r="A85" t="str">
        <f ca="1">adb_exist!B85&amp;" "&amp;adb_exist!C85&amp;" "&amp;adb_exist!D85&amp;" "&amp;adb_exist!E85</f>
        <v xml:space="preserve"> minp e-A-BUw 1</v>
      </c>
    </row>
    <row r="86" spans="1:1" x14ac:dyDescent="0.25">
      <c r="A86" t="str">
        <f ca="1">adb_exist!B86&amp;" "&amp;adb_exist!C86&amp;" "&amp;adb_exist!D86&amp;" "&amp;adb_exist!E86&amp;" "&amp;adb_exist!F86</f>
        <v xml:space="preserve"> moutp e-B-CIw c 0.9652</v>
      </c>
    </row>
    <row r="87" spans="1:1" x14ac:dyDescent="0.25">
      <c r="A87" t="str">
        <f ca="1">adb_exist!B87&amp;" "&amp;adb_exist!C87&amp;" "&amp;adb_exist!D87&amp;" "&amp;adb_exist!E87&amp;" "&amp;adb_exist!F87</f>
        <v xml:space="preserve"> pll c 100 </v>
      </c>
    </row>
    <row r="88" spans="1:1" x14ac:dyDescent="0.25">
      <c r="A88" t="str">
        <f ca="1">adb_exist!B88&amp;" "&amp;adb_exist!C88&amp;" "&amp;adb_exist!D88&amp;" "&amp;adb_exist!E88&amp;" "&amp;adb_exist!F88</f>
        <v xml:space="preserve"> hisc 0 hc 2005 327</v>
      </c>
    </row>
    <row r="89" spans="1:1" x14ac:dyDescent="0.25">
      <c r="A89" t="str">
        <f ca="1">adb_exist!B89&amp;" "&amp;adb_exist!C89&amp;" "&amp;adb_exist!D89&amp;" "&amp;adb_exist!E89&amp;" "&amp;adb_exist!F89</f>
        <v xml:space="preserve"> optm c 0.9959 </v>
      </c>
    </row>
    <row r="90" spans="1:1" x14ac:dyDescent="0.25">
      <c r="A90" t="str">
        <f ca="1">adb_exist!B90&amp;" "&amp;adb_exist!C90&amp;" "&amp;adb_exist!D90&amp;" "&amp;adb_exist!E90&amp;" "&amp;adb_exist!F90</f>
        <v xml:space="preserve"> bdc up ts 0</v>
      </c>
    </row>
    <row r="91" spans="1:1" x14ac:dyDescent="0.25">
      <c r="A91" t="str">
        <f>adb_exist!B91</f>
        <v>#</v>
      </c>
    </row>
    <row r="92" spans="1:1" x14ac:dyDescent="0.25">
      <c r="A92" t="str">
        <f>adb_exist!B92</f>
        <v>*</v>
      </c>
    </row>
    <row r="93" spans="1:1" x14ac:dyDescent="0.25">
      <c r="A93" t="str">
        <f ca="1">adb_exist!B93&amp;" "&amp;adb_exist!C93</f>
        <v>ELEXTBwNGw a</v>
      </c>
    </row>
    <row r="94" spans="1:1" x14ac:dyDescent="0.25">
      <c r="A94" t="str">
        <f ca="1">adb_exist!B94&amp;" "&amp;adb_exist!C94&amp;" "&amp;adb_exist!D94&amp;" "&amp;adb_exist!E94</f>
        <v xml:space="preserve"> minp e-M-TBw 1</v>
      </c>
    </row>
    <row r="95" spans="1:1" x14ac:dyDescent="0.25">
      <c r="A95" t="str">
        <f ca="1">adb_exist!B95&amp;" "&amp;adb_exist!C95&amp;" "&amp;adb_exist!D95&amp;" "&amp;adb_exist!E95&amp;" "&amp;adb_exist!F95</f>
        <v xml:space="preserve"> moutp e-J-NGw c 0.975</v>
      </c>
    </row>
    <row r="96" spans="1:1" x14ac:dyDescent="0.25">
      <c r="A96" t="str">
        <f ca="1">adb_exist!B96&amp;" "&amp;adb_exist!C96&amp;" "&amp;adb_exist!D96&amp;" "&amp;adb_exist!E96&amp;" "&amp;adb_exist!F96</f>
        <v xml:space="preserve"> pll c 100 </v>
      </c>
    </row>
    <row r="97" spans="1:1" x14ac:dyDescent="0.25">
      <c r="A97" t="str">
        <f ca="1">adb_exist!B97&amp;" "&amp;adb_exist!C97&amp;" "&amp;adb_exist!D97&amp;" "&amp;adb_exist!E97&amp;" "&amp;adb_exist!F97</f>
        <v xml:space="preserve"> hisc 0 hc 2005 686</v>
      </c>
    </row>
    <row r="98" spans="1:1" x14ac:dyDescent="0.25">
      <c r="A98" t="str">
        <f ca="1">adb_exist!B98&amp;" "&amp;adb_exist!C98&amp;" "&amp;adb_exist!D98&amp;" "&amp;adb_exist!E98&amp;" "&amp;adb_exist!F98</f>
        <v xml:space="preserve"> optm c 0.9986 </v>
      </c>
    </row>
    <row r="99" spans="1:1" x14ac:dyDescent="0.25">
      <c r="A99" t="str">
        <f ca="1">adb_exist!B99&amp;" "&amp;adb_exist!C99&amp;" "&amp;adb_exist!D99&amp;" "&amp;adb_exist!E99&amp;" "&amp;adb_exist!F99</f>
        <v xml:space="preserve"> bdc up ts 0</v>
      </c>
    </row>
    <row r="100" spans="1:1" x14ac:dyDescent="0.25">
      <c r="A100" t="str">
        <f>adb_exist!B100</f>
        <v>#</v>
      </c>
    </row>
    <row r="101" spans="1:1" x14ac:dyDescent="0.25">
      <c r="A101" t="str">
        <f>adb_exist!B101</f>
        <v>*</v>
      </c>
    </row>
    <row r="102" spans="1:1" x14ac:dyDescent="0.25">
      <c r="A102" t="str">
        <f ca="1">adb_exist!B102&amp;" "&amp;adb_exist!C102</f>
        <v>ELEXNIwNGw b</v>
      </c>
    </row>
    <row r="103" spans="1:1" x14ac:dyDescent="0.25">
      <c r="A103" t="str">
        <f ca="1">adb_exist!B103&amp;" "&amp;adb_exist!C103&amp;" "&amp;adb_exist!D103&amp;" "&amp;adb_exist!E103</f>
        <v xml:space="preserve"> minp e-I-NIw 1</v>
      </c>
    </row>
    <row r="104" spans="1:1" x14ac:dyDescent="0.25">
      <c r="A104" t="str">
        <f ca="1">adb_exist!B104&amp;" "&amp;adb_exist!C104&amp;" "&amp;adb_exist!D104&amp;" "&amp;adb_exist!E104&amp;" "&amp;adb_exist!F104</f>
        <v xml:space="preserve"> moutp e-J-NGw c 0.9738</v>
      </c>
    </row>
    <row r="105" spans="1:1" x14ac:dyDescent="0.25">
      <c r="A105" t="str">
        <f ca="1">adb_exist!B105&amp;" "&amp;adb_exist!C105&amp;" "&amp;adb_exist!D105&amp;" "&amp;adb_exist!E105&amp;" "&amp;adb_exist!F105</f>
        <v xml:space="preserve"> pll c 100 </v>
      </c>
    </row>
    <row r="106" spans="1:1" x14ac:dyDescent="0.25">
      <c r="A106" t="str">
        <f ca="1">adb_exist!B106&amp;" "&amp;adb_exist!C106&amp;" "&amp;adb_exist!D106&amp;" "&amp;adb_exist!E106&amp;" "&amp;adb_exist!F106</f>
        <v xml:space="preserve"> hisc 0 hc 2005 169.2</v>
      </c>
    </row>
    <row r="107" spans="1:1" x14ac:dyDescent="0.25">
      <c r="A107" t="str">
        <f ca="1">adb_exist!B107&amp;" "&amp;adb_exist!C107&amp;" "&amp;adb_exist!D107&amp;" "&amp;adb_exist!E107&amp;" "&amp;adb_exist!F107</f>
        <v xml:space="preserve"> optm c 0.997 </v>
      </c>
    </row>
    <row r="108" spans="1:1" x14ac:dyDescent="0.25">
      <c r="A108" t="str">
        <f ca="1">adb_exist!B108&amp;" "&amp;adb_exist!C108&amp;" "&amp;adb_exist!D108&amp;" "&amp;adb_exist!E108&amp;" "&amp;adb_exist!F108</f>
        <v xml:space="preserve"> bdc up ts 0</v>
      </c>
    </row>
    <row r="109" spans="1:1" x14ac:dyDescent="0.25">
      <c r="A109" t="str">
        <f>adb_exist!B109</f>
        <v>#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/>
  </sheetPr>
  <dimension ref="A1:AE51"/>
  <sheetViews>
    <sheetView workbookViewId="0"/>
  </sheetViews>
  <sheetFormatPr defaultRowHeight="15" x14ac:dyDescent="0.25"/>
  <cols>
    <col min="1" max="1" width="18" customWidth="1"/>
    <col min="2" max="2" width="18.5703125" customWidth="1"/>
    <col min="3" max="3" width="7.7109375" customWidth="1"/>
    <col min="4" max="4" width="7.42578125" customWidth="1"/>
    <col min="5" max="5" width="31.7109375" customWidth="1"/>
    <col min="11" max="11" width="10.7109375" customWidth="1"/>
    <col min="12" max="12" width="9.7109375" customWidth="1"/>
    <col min="14" max="14" width="12" bestFit="1" customWidth="1"/>
    <col min="15" max="15" width="9.85546875" customWidth="1"/>
  </cols>
  <sheetData>
    <row r="1" spans="1:26" x14ac:dyDescent="0.25">
      <c r="B1">
        <v>1</v>
      </c>
      <c r="C1">
        <f t="shared" ref="C1:G2" si="0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ref="H1:H2" si="1">G1+1</f>
        <v>7</v>
      </c>
      <c r="I1">
        <f t="shared" ref="I1:I2" si="2">H1+1</f>
        <v>8</v>
      </c>
      <c r="J1">
        <f t="shared" ref="J1:J2" si="3">I1+1</f>
        <v>9</v>
      </c>
      <c r="K1">
        <f t="shared" ref="K1:K2" si="4">J1+1</f>
        <v>10</v>
      </c>
      <c r="L1">
        <f t="shared" ref="L1:L2" si="5">K1+1</f>
        <v>11</v>
      </c>
      <c r="M1">
        <f t="shared" ref="M1:M2" si="6">L1+1</f>
        <v>12</v>
      </c>
      <c r="N1">
        <f t="shared" ref="N1:N2" si="7">M1+1</f>
        <v>13</v>
      </c>
      <c r="O1">
        <f t="shared" ref="O1:O2" si="8">N1+1</f>
        <v>14</v>
      </c>
    </row>
    <row r="2" spans="1:26" x14ac:dyDescent="0.25">
      <c r="A2">
        <v>1</v>
      </c>
      <c r="B2">
        <f>A2+1</f>
        <v>2</v>
      </c>
      <c r="C2">
        <f t="shared" si="0"/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si="1"/>
        <v>8</v>
      </c>
      <c r="I2">
        <f t="shared" si="2"/>
        <v>9</v>
      </c>
      <c r="J2">
        <f t="shared" si="3"/>
        <v>10</v>
      </c>
      <c r="K2">
        <f t="shared" si="4"/>
        <v>11</v>
      </c>
      <c r="L2">
        <f t="shared" si="5"/>
        <v>12</v>
      </c>
      <c r="M2">
        <f t="shared" si="6"/>
        <v>13</v>
      </c>
      <c r="N2">
        <f t="shared" si="7"/>
        <v>14</v>
      </c>
      <c r="O2">
        <f t="shared" si="8"/>
        <v>15</v>
      </c>
    </row>
    <row r="3" spans="1:26" ht="30" customHeight="1" x14ac:dyDescent="0.25">
      <c r="C3" s="9" t="s">
        <v>16</v>
      </c>
      <c r="D3" s="9" t="s">
        <v>17</v>
      </c>
      <c r="E3" s="9" t="s">
        <v>28</v>
      </c>
      <c r="F3" s="9" t="s">
        <v>21</v>
      </c>
      <c r="G3" s="9" t="s">
        <v>160</v>
      </c>
      <c r="H3" s="9" t="s">
        <v>155</v>
      </c>
      <c r="I3" s="9" t="s">
        <v>15</v>
      </c>
      <c r="J3" s="9" t="s">
        <v>18</v>
      </c>
      <c r="K3" s="9" t="s">
        <v>23</v>
      </c>
      <c r="L3" s="9" t="s">
        <v>25</v>
      </c>
      <c r="M3" s="9" t="s">
        <v>27</v>
      </c>
      <c r="N3" s="9" t="s">
        <v>185</v>
      </c>
      <c r="O3" s="9" t="s">
        <v>186</v>
      </c>
      <c r="T3" s="9"/>
      <c r="U3" s="9"/>
    </row>
    <row r="4" spans="1:26" x14ac:dyDescent="0.25">
      <c r="C4" s="9"/>
      <c r="D4" s="9"/>
      <c r="E4" s="9"/>
      <c r="F4" s="9" t="s">
        <v>19</v>
      </c>
      <c r="G4" s="9" t="s">
        <v>14</v>
      </c>
      <c r="H4" s="9" t="s">
        <v>22</v>
      </c>
      <c r="I4" s="9" t="s">
        <v>12</v>
      </c>
      <c r="J4" s="9"/>
      <c r="K4" s="9" t="s">
        <v>24</v>
      </c>
      <c r="L4" s="9" t="s">
        <v>26</v>
      </c>
      <c r="M4" s="9"/>
      <c r="N4" s="98">
        <f>AVERAGE(N11:N20,N34:N36)</f>
        <v>0.39448484848484838</v>
      </c>
      <c r="O4" s="98">
        <f>AVERAGE(N7:N8,N29:N31)</f>
        <v>0.47033814627797588</v>
      </c>
    </row>
    <row r="5" spans="1:26" ht="18" thickBot="1" x14ac:dyDescent="0.35">
      <c r="C5" s="99" t="s">
        <v>189</v>
      </c>
      <c r="D5" s="99"/>
      <c r="E5" s="99"/>
      <c r="K5" s="14"/>
      <c r="O5" s="13"/>
    </row>
    <row r="6" spans="1:26" ht="15.75" thickTop="1" x14ac:dyDescent="0.25">
      <c r="C6" s="54" t="s">
        <v>195</v>
      </c>
      <c r="K6" s="14"/>
      <c r="N6" s="6"/>
      <c r="O6" t="s">
        <v>192</v>
      </c>
      <c r="P6">
        <v>2010</v>
      </c>
      <c r="Q6">
        <f>P6+1</f>
        <v>2011</v>
      </c>
      <c r="R6">
        <f t="shared" ref="R6:Y6" si="9">Q6+1</f>
        <v>2012</v>
      </c>
      <c r="S6">
        <f t="shared" si="9"/>
        <v>2013</v>
      </c>
      <c r="T6">
        <f t="shared" si="9"/>
        <v>2014</v>
      </c>
      <c r="U6">
        <f t="shared" si="9"/>
        <v>2015</v>
      </c>
      <c r="V6">
        <f t="shared" si="9"/>
        <v>2016</v>
      </c>
      <c r="W6">
        <f t="shared" si="9"/>
        <v>2017</v>
      </c>
      <c r="X6">
        <f t="shared" si="9"/>
        <v>2018</v>
      </c>
      <c r="Y6">
        <f t="shared" si="9"/>
        <v>2019</v>
      </c>
      <c r="Z6">
        <f>Y6+1</f>
        <v>2020</v>
      </c>
    </row>
    <row r="7" spans="1:26" x14ac:dyDescent="0.25">
      <c r="A7" t="str">
        <f>"ELNCDor"&amp;C7&amp;D7</f>
        <v>ELNCDorGHwTBw</v>
      </c>
      <c r="B7" t="str">
        <f>"ELNCDor"&amp;D7&amp;C7</f>
        <v>ELNCDorTBwGHw</v>
      </c>
      <c r="C7" t="s">
        <v>119</v>
      </c>
      <c r="D7" t="s">
        <v>128</v>
      </c>
      <c r="E7" t="s">
        <v>158</v>
      </c>
      <c r="F7">
        <v>330</v>
      </c>
      <c r="G7" s="14">
        <f>$S$29+$S$30*H7+$S$31*F7</f>
        <v>655.24546911513698</v>
      </c>
      <c r="H7">
        <v>240</v>
      </c>
      <c r="I7" s="44">
        <v>2.5000000000000001E-2</v>
      </c>
      <c r="J7" s="44">
        <f>ROUND(16/8760*H7/100,4)</f>
        <v>4.4000000000000003E-3</v>
      </c>
      <c r="K7" s="14">
        <f>84*Q29</f>
        <v>90.019856308253594</v>
      </c>
      <c r="L7" s="14">
        <f>K7/G7*1000</f>
        <v>137.38340904488678</v>
      </c>
      <c r="M7" s="110">
        <v>2013</v>
      </c>
      <c r="N7" s="96">
        <f>K7/H7</f>
        <v>0.37508273461772329</v>
      </c>
      <c r="O7" t="str">
        <f>P7&amp;" "&amp;Q7&amp;" "&amp;R7&amp;" "&amp;S7&amp;" "&amp;T7&amp;" "&amp;U7&amp;" "&amp;V7&amp;" "&amp;W7&amp;" "&amp;X7&amp;" "&amp;Y7&amp;" "&amp;Z7</f>
        <v>0 0 0 655 0 0 0 0 0 0 0</v>
      </c>
      <c r="P7">
        <f>IF(P$6=$M7,ROUND($G7,0),0)</f>
        <v>0</v>
      </c>
      <c r="Q7">
        <f t="shared" ref="Q7:Z8" si="10">IF(Q$6=$M7,ROUND($G7,0),0)</f>
        <v>0</v>
      </c>
      <c r="R7">
        <f t="shared" si="10"/>
        <v>0</v>
      </c>
      <c r="S7">
        <f t="shared" si="10"/>
        <v>655</v>
      </c>
      <c r="T7">
        <f t="shared" si="10"/>
        <v>0</v>
      </c>
      <c r="U7">
        <f t="shared" si="10"/>
        <v>0</v>
      </c>
      <c r="V7">
        <f t="shared" si="10"/>
        <v>0</v>
      </c>
      <c r="W7">
        <f t="shared" si="10"/>
        <v>0</v>
      </c>
      <c r="X7">
        <f t="shared" si="10"/>
        <v>0</v>
      </c>
      <c r="Y7">
        <f t="shared" si="10"/>
        <v>0</v>
      </c>
      <c r="Z7">
        <f t="shared" si="10"/>
        <v>0</v>
      </c>
    </row>
    <row r="8" spans="1:26" x14ac:dyDescent="0.25">
      <c r="A8" t="str">
        <f t="shared" ref="A8" si="11">"ELNCDor"&amp;C8&amp;D8</f>
        <v>ELNCDorCIwGHw</v>
      </c>
      <c r="B8" t="str">
        <f t="shared" ref="B8" si="12">"ELNCDor"&amp;D8&amp;C8</f>
        <v>ELNCDorGHwCIw</v>
      </c>
      <c r="C8" t="s">
        <v>117</v>
      </c>
      <c r="D8" t="s">
        <v>119</v>
      </c>
      <c r="E8" t="s">
        <v>159</v>
      </c>
      <c r="F8">
        <v>330</v>
      </c>
      <c r="G8" s="14">
        <f>$S$29+$S$30*H8+$S$31*F8</f>
        <v>655.24546911513698</v>
      </c>
      <c r="H8">
        <v>240</v>
      </c>
      <c r="I8" s="10">
        <v>0.02</v>
      </c>
      <c r="J8" s="44">
        <f>ROUND(16/8760*H8/100,4)</f>
        <v>4.4000000000000003E-3</v>
      </c>
      <c r="K8" s="14">
        <f>K7</f>
        <v>90.019856308253594</v>
      </c>
      <c r="L8" s="14">
        <f>K8/G8*1000</f>
        <v>137.38340904488678</v>
      </c>
      <c r="M8" s="110">
        <v>2017</v>
      </c>
      <c r="N8" s="96">
        <f t="shared" ref="N8:N14" si="13">K8/H8</f>
        <v>0.37508273461772329</v>
      </c>
      <c r="O8" t="str">
        <f>P8&amp;" "&amp;Q8&amp;" "&amp;R8&amp;" "&amp;S8&amp;" "&amp;T8&amp;" "&amp;U8&amp;" "&amp;V8&amp;" "&amp;W8&amp;" "&amp;X8&amp;" "&amp;Y8&amp;" "&amp;Z8</f>
        <v>0 0 0 0 0 0 0 655 0 0 0</v>
      </c>
      <c r="P8">
        <f>IF(P$6=$M8,ROUND($G8,0),0)</f>
        <v>0</v>
      </c>
      <c r="Q8">
        <f t="shared" si="10"/>
        <v>0</v>
      </c>
      <c r="R8">
        <f t="shared" si="10"/>
        <v>0</v>
      </c>
      <c r="S8">
        <f t="shared" si="10"/>
        <v>0</v>
      </c>
      <c r="T8">
        <f t="shared" si="10"/>
        <v>0</v>
      </c>
      <c r="U8">
        <f t="shared" si="10"/>
        <v>0</v>
      </c>
      <c r="V8">
        <f t="shared" si="10"/>
        <v>0</v>
      </c>
      <c r="W8">
        <f t="shared" si="10"/>
        <v>655</v>
      </c>
      <c r="X8">
        <f t="shared" si="10"/>
        <v>0</v>
      </c>
      <c r="Y8">
        <f t="shared" si="10"/>
        <v>0</v>
      </c>
      <c r="Z8">
        <f t="shared" si="10"/>
        <v>0</v>
      </c>
    </row>
    <row r="9" spans="1:26" x14ac:dyDescent="0.25">
      <c r="I9" s="10"/>
      <c r="J9" s="44"/>
      <c r="K9" s="14"/>
      <c r="L9" s="14"/>
      <c r="N9" s="96"/>
    </row>
    <row r="10" spans="1:26" x14ac:dyDescent="0.25">
      <c r="C10" s="54" t="s">
        <v>194</v>
      </c>
      <c r="L10" s="14"/>
      <c r="N10" s="96"/>
    </row>
    <row r="11" spans="1:26" x14ac:dyDescent="0.25">
      <c r="A11" t="str">
        <f>"ELNCCLSG"&amp;C11&amp;D11</f>
        <v>ELNCCLSGCIwLIw</v>
      </c>
      <c r="B11" t="str">
        <f>"ELNCCLSG"&amp;D11&amp;C11</f>
        <v>ELNCCLSGLIwCIw</v>
      </c>
      <c r="C11" t="s">
        <v>117</v>
      </c>
      <c r="D11" t="s">
        <v>122</v>
      </c>
      <c r="E11" t="s">
        <v>170</v>
      </c>
      <c r="F11">
        <v>225</v>
      </c>
      <c r="G11" s="14">
        <f>$S$29+$S$30*H11+$S$31*F11</f>
        <v>337.60828084977555</v>
      </c>
      <c r="H11">
        <v>140</v>
      </c>
      <c r="I11" s="85">
        <f>MAX(2.5%,Exist_Raw!$N$3*H11)</f>
        <v>2.5000000000000001E-2</v>
      </c>
      <c r="J11" s="44">
        <f>ROUND(16/8760*H11/100,4)</f>
        <v>2.5999999999999999E-3</v>
      </c>
      <c r="K11" s="14">
        <f>H11/$H$15*$K$15</f>
        <v>59.733333333333334</v>
      </c>
      <c r="L11" s="14">
        <f>ROUND(K11/G11*1000,1)</f>
        <v>176.9</v>
      </c>
      <c r="M11" s="110">
        <v>2015</v>
      </c>
      <c r="N11" s="96">
        <f t="shared" si="13"/>
        <v>0.42666666666666669</v>
      </c>
      <c r="O11" t="str">
        <f>P11&amp;" "&amp;Q11&amp;" "&amp;R11&amp;" "&amp;S11&amp;" "&amp;T11&amp;" "&amp;U11&amp;" "&amp;V11&amp;" "&amp;W11&amp;" "&amp;X11&amp;" "&amp;Y11&amp;" "&amp;Z11</f>
        <v>0 0 0 0 0 338 0 0 0 0 0</v>
      </c>
      <c r="P11">
        <f>IF(P$6=$M11,ROUND($G11,0),0)</f>
        <v>0</v>
      </c>
      <c r="Q11">
        <f t="shared" ref="Q11:Z14" si="14">IF(Q$6=$M11,ROUND($G11,0),0)</f>
        <v>0</v>
      </c>
      <c r="R11">
        <f t="shared" si="14"/>
        <v>0</v>
      </c>
      <c r="S11">
        <f t="shared" si="14"/>
        <v>0</v>
      </c>
      <c r="T11">
        <f t="shared" si="14"/>
        <v>0</v>
      </c>
      <c r="U11">
        <f t="shared" si="14"/>
        <v>338</v>
      </c>
      <c r="V11">
        <f t="shared" si="14"/>
        <v>0</v>
      </c>
      <c r="W11">
        <f t="shared" si="14"/>
        <v>0</v>
      </c>
      <c r="X11">
        <f t="shared" si="14"/>
        <v>0</v>
      </c>
      <c r="Y11">
        <f t="shared" si="14"/>
        <v>0</v>
      </c>
      <c r="Z11">
        <f t="shared" si="14"/>
        <v>0</v>
      </c>
    </row>
    <row r="12" spans="1:26" x14ac:dyDescent="0.25">
      <c r="A12" t="str">
        <f t="shared" ref="A12:A14" si="15">"ELNCCLSG"&amp;C12&amp;D12</f>
        <v>ELNCCLSGLIwGUw</v>
      </c>
      <c r="B12" t="str">
        <f t="shared" ref="B12:B14" si="16">"ELNCCLSG"&amp;D12&amp;C12</f>
        <v>ELNCCLSGGUwLIw</v>
      </c>
      <c r="C12" t="s">
        <v>122</v>
      </c>
      <c r="D12" t="s">
        <v>120</v>
      </c>
      <c r="E12" t="s">
        <v>171</v>
      </c>
      <c r="F12">
        <v>225</v>
      </c>
      <c r="G12" s="14">
        <f>$S$29+$S$30*H12+$S$31*F12</f>
        <v>337.60828084977555</v>
      </c>
      <c r="H12">
        <v>140</v>
      </c>
      <c r="I12" s="85">
        <f>MAX(2.5%,Exist_Raw!$N$3*H12)</f>
        <v>2.5000000000000001E-2</v>
      </c>
      <c r="J12" s="44">
        <f>ROUND(16/8760*H12/100,4)</f>
        <v>2.5999999999999999E-3</v>
      </c>
      <c r="K12" s="14">
        <f t="shared" ref="K12:K14" si="17">H12/$H$15*$K$15</f>
        <v>59.733333333333334</v>
      </c>
      <c r="L12" s="14">
        <f>ROUND(K12/G12*1000,1)</f>
        <v>176.9</v>
      </c>
      <c r="M12" s="110">
        <v>2015</v>
      </c>
      <c r="N12" s="96">
        <f t="shared" si="13"/>
        <v>0.42666666666666669</v>
      </c>
      <c r="O12" t="str">
        <f>P12&amp;" "&amp;Q12&amp;" "&amp;R12&amp;" "&amp;S12&amp;" "&amp;T12&amp;" "&amp;U12&amp;" "&amp;V12&amp;" "&amp;W12&amp;" "&amp;X12&amp;" "&amp;Y12&amp;" "&amp;Z12</f>
        <v>0 0 0 0 0 338 0 0 0 0 0</v>
      </c>
      <c r="P12">
        <f>IF(P$6=$M12,ROUND($G12,0),0)</f>
        <v>0</v>
      </c>
      <c r="Q12">
        <f t="shared" si="14"/>
        <v>0</v>
      </c>
      <c r="R12">
        <f t="shared" si="14"/>
        <v>0</v>
      </c>
      <c r="S12">
        <f t="shared" si="14"/>
        <v>0</v>
      </c>
      <c r="T12">
        <f t="shared" si="14"/>
        <v>0</v>
      </c>
      <c r="U12">
        <f t="shared" si="14"/>
        <v>338</v>
      </c>
      <c r="V12">
        <f t="shared" si="14"/>
        <v>0</v>
      </c>
      <c r="W12">
        <f t="shared" si="14"/>
        <v>0</v>
      </c>
      <c r="X12">
        <f t="shared" si="14"/>
        <v>0</v>
      </c>
      <c r="Y12">
        <f t="shared" si="14"/>
        <v>0</v>
      </c>
      <c r="Z12">
        <f t="shared" si="14"/>
        <v>0</v>
      </c>
    </row>
    <row r="13" spans="1:26" ht="30" x14ac:dyDescent="0.25">
      <c r="A13" t="str">
        <f t="shared" si="15"/>
        <v>ELNCCLSGLIwSIw</v>
      </c>
      <c r="B13" t="str">
        <f t="shared" si="16"/>
        <v>ELNCCLSGSIwLIw</v>
      </c>
      <c r="C13" t="s">
        <v>122</v>
      </c>
      <c r="D13" t="s">
        <v>127</v>
      </c>
      <c r="E13" s="97" t="s">
        <v>172</v>
      </c>
      <c r="F13">
        <v>225</v>
      </c>
      <c r="G13" s="14">
        <f>$S$29+$S$30*H13+$S$31*F13</f>
        <v>303.42560627989184</v>
      </c>
      <c r="H13">
        <f>250+110+220</f>
        <v>580</v>
      </c>
      <c r="I13" s="85">
        <f>MAX(2.5%,Exist_Raw!$N$3*H13)</f>
        <v>6.7927207029646053E-2</v>
      </c>
      <c r="J13" s="44">
        <f>ROUND(16/8760*H13/100,4)</f>
        <v>1.06E-2</v>
      </c>
      <c r="K13" s="14">
        <f t="shared" si="17"/>
        <v>247.4666666666667</v>
      </c>
      <c r="L13" s="14">
        <f>ROUND(K13/G13*1000,1)</f>
        <v>815.6</v>
      </c>
      <c r="M13" s="110">
        <v>2015</v>
      </c>
      <c r="N13" s="96">
        <f t="shared" si="13"/>
        <v>0.42666666666666669</v>
      </c>
      <c r="O13" t="str">
        <f>P13&amp;" "&amp;Q13&amp;" "&amp;R13&amp;" "&amp;S13&amp;" "&amp;T13&amp;" "&amp;U13&amp;" "&amp;V13&amp;" "&amp;W13&amp;" "&amp;X13&amp;" "&amp;Y13&amp;" "&amp;Z13</f>
        <v>0 0 0 0 0 303 0 0 0 0 0</v>
      </c>
      <c r="P13">
        <f>IF(P$6=$M13,ROUND($G13,0),0)</f>
        <v>0</v>
      </c>
      <c r="Q13">
        <f t="shared" si="14"/>
        <v>0</v>
      </c>
      <c r="R13">
        <f t="shared" si="14"/>
        <v>0</v>
      </c>
      <c r="S13">
        <f t="shared" si="14"/>
        <v>0</v>
      </c>
      <c r="T13">
        <f t="shared" si="14"/>
        <v>0</v>
      </c>
      <c r="U13">
        <f t="shared" si="14"/>
        <v>303</v>
      </c>
      <c r="V13">
        <f t="shared" si="14"/>
        <v>0</v>
      </c>
      <c r="W13">
        <f t="shared" si="14"/>
        <v>0</v>
      </c>
      <c r="X13">
        <f t="shared" si="14"/>
        <v>0</v>
      </c>
      <c r="Y13">
        <f t="shared" si="14"/>
        <v>0</v>
      </c>
      <c r="Z13">
        <f t="shared" si="14"/>
        <v>0</v>
      </c>
    </row>
    <row r="14" spans="1:26" x14ac:dyDescent="0.25">
      <c r="A14" t="str">
        <f t="shared" si="15"/>
        <v>ELNCCLSGSIwGUw</v>
      </c>
      <c r="B14" t="str">
        <f t="shared" si="16"/>
        <v>ELNCCLSGGUwSIw</v>
      </c>
      <c r="C14" t="s">
        <v>127</v>
      </c>
      <c r="D14" t="s">
        <v>120</v>
      </c>
      <c r="E14" t="s">
        <v>165</v>
      </c>
      <c r="F14">
        <v>225</v>
      </c>
      <c r="G14" s="14">
        <f>$S$29+$S$30*H14+$S$31*F14</f>
        <v>333.72388601228874</v>
      </c>
      <c r="H14">
        <v>190</v>
      </c>
      <c r="I14" s="85">
        <f>MAX(2.5%,Exist_Raw!$N$3*H14)</f>
        <v>2.5000000000000001E-2</v>
      </c>
      <c r="J14" s="44">
        <f>ROUND(16/8760*H14/100,4)</f>
        <v>3.5000000000000001E-3</v>
      </c>
      <c r="K14" s="14">
        <f t="shared" si="17"/>
        <v>81.066666666666663</v>
      </c>
      <c r="L14" s="14">
        <f>ROUND(K14/G14*1000,1)</f>
        <v>242.9</v>
      </c>
      <c r="M14" s="110">
        <v>2015</v>
      </c>
      <c r="N14" s="96">
        <f t="shared" si="13"/>
        <v>0.42666666666666664</v>
      </c>
      <c r="O14" t="str">
        <f>P14&amp;" "&amp;Q14&amp;" "&amp;R14&amp;" "&amp;S14&amp;" "&amp;T14&amp;" "&amp;U14&amp;" "&amp;V14&amp;" "&amp;W14&amp;" "&amp;X14&amp;" "&amp;Y14&amp;" "&amp;Z14</f>
        <v>0 0 0 0 0 334 0 0 0 0 0</v>
      </c>
      <c r="P14">
        <f>IF(P$6=$M14,ROUND($G14,0),0)</f>
        <v>0</v>
      </c>
      <c r="Q14">
        <f t="shared" si="14"/>
        <v>0</v>
      </c>
      <c r="R14">
        <f t="shared" si="14"/>
        <v>0</v>
      </c>
      <c r="S14">
        <f t="shared" si="14"/>
        <v>0</v>
      </c>
      <c r="T14">
        <f t="shared" si="14"/>
        <v>0</v>
      </c>
      <c r="U14">
        <f t="shared" si="14"/>
        <v>334</v>
      </c>
      <c r="V14">
        <f t="shared" si="14"/>
        <v>0</v>
      </c>
      <c r="W14">
        <f t="shared" si="14"/>
        <v>0</v>
      </c>
      <c r="X14">
        <f t="shared" si="14"/>
        <v>0</v>
      </c>
      <c r="Y14">
        <f t="shared" si="14"/>
        <v>0</v>
      </c>
      <c r="Z14">
        <f t="shared" si="14"/>
        <v>0</v>
      </c>
    </row>
    <row r="15" spans="1:26" x14ac:dyDescent="0.25">
      <c r="H15">
        <f>SUM(H11:H14)</f>
        <v>1050</v>
      </c>
      <c r="I15" s="12"/>
      <c r="J15" s="44"/>
      <c r="K15" s="14">
        <f>320*Q37</f>
        <v>448</v>
      </c>
      <c r="L15" s="14"/>
      <c r="N15" s="89"/>
    </row>
    <row r="16" spans="1:26" x14ac:dyDescent="0.25">
      <c r="C16" s="54" t="s">
        <v>163</v>
      </c>
      <c r="L16" s="14"/>
    </row>
    <row r="17" spans="1:31" x14ac:dyDescent="0.25">
      <c r="A17" t="str">
        <f>"ELNCOMVG"&amp;C17&amp;D17</f>
        <v>ELNCOMVGSEwGUw</v>
      </c>
      <c r="B17" t="str">
        <f>"ELNCOMVG"&amp;D17&amp;C17</f>
        <v>ELNCOMVGGUwSEw</v>
      </c>
      <c r="C17" t="s">
        <v>126</v>
      </c>
      <c r="D17" t="s">
        <v>120</v>
      </c>
      <c r="E17" t="s">
        <v>173</v>
      </c>
      <c r="F17">
        <v>225</v>
      </c>
      <c r="G17" s="14">
        <f>$S$29+$S$30*H17+$S$31*F17</f>
        <v>286.33426899494998</v>
      </c>
      <c r="H17">
        <v>800</v>
      </c>
      <c r="I17" s="85">
        <f>MAX(2.5%,Exist_Raw!$N$3*H17)</f>
        <v>9.3692699351235934E-2</v>
      </c>
      <c r="J17" s="44">
        <f>ROUND(16/8760*H17/100,4)</f>
        <v>1.46E-2</v>
      </c>
      <c r="K17" s="14">
        <f>H17/$H$21*$K$21</f>
        <v>289.84242424242422</v>
      </c>
      <c r="L17" s="14">
        <f>ROUND(K17/G17*1000,1)</f>
        <v>1012.3</v>
      </c>
      <c r="M17" s="110">
        <v>2017</v>
      </c>
      <c r="N17" s="96">
        <f>K17/H17</f>
        <v>0.36230303030303029</v>
      </c>
      <c r="O17" t="str">
        <f>P17&amp;" "&amp;Q17&amp;" "&amp;R17&amp;" "&amp;S17&amp;" "&amp;T17&amp;" "&amp;U17&amp;" "&amp;V17&amp;" "&amp;W17&amp;" "&amp;X17&amp;" "&amp;Y17&amp;" "&amp;Z17</f>
        <v>0 0 0 0 0 0 0 286 0 0 0</v>
      </c>
      <c r="P17">
        <f>IF(P$6=$M17,ROUND($G17,0),0)</f>
        <v>0</v>
      </c>
      <c r="Q17">
        <f t="shared" ref="Q17:Z20" si="18">IF(Q$6=$M17,ROUND($G17,0),0)</f>
        <v>0</v>
      </c>
      <c r="R17">
        <f t="shared" si="18"/>
        <v>0</v>
      </c>
      <c r="S17">
        <f t="shared" si="18"/>
        <v>0</v>
      </c>
      <c r="T17">
        <f t="shared" si="18"/>
        <v>0</v>
      </c>
      <c r="U17">
        <f t="shared" si="18"/>
        <v>0</v>
      </c>
      <c r="V17">
        <f t="shared" si="18"/>
        <v>0</v>
      </c>
      <c r="W17">
        <f t="shared" si="18"/>
        <v>286</v>
      </c>
      <c r="X17">
        <f t="shared" si="18"/>
        <v>0</v>
      </c>
      <c r="Y17">
        <f t="shared" si="18"/>
        <v>0</v>
      </c>
      <c r="Z17">
        <f t="shared" si="18"/>
        <v>0</v>
      </c>
    </row>
    <row r="18" spans="1:31" x14ac:dyDescent="0.25">
      <c r="A18" t="str">
        <f t="shared" ref="A18:A20" si="19">"ELNCOMVG"&amp;C18&amp;D18</f>
        <v>ELNCOMVGSEwGAw</v>
      </c>
      <c r="B18" t="str">
        <f t="shared" ref="B18:B20" si="20">"ELNCOMVG"&amp;D18&amp;C18</f>
        <v>ELNCOMVGGAwSEw</v>
      </c>
      <c r="C18" t="s">
        <v>126</v>
      </c>
      <c r="D18" t="s">
        <v>118</v>
      </c>
      <c r="E18" t="s">
        <v>174</v>
      </c>
      <c r="F18">
        <v>225</v>
      </c>
      <c r="G18" s="14">
        <f>$S$29+$S$30*H18+$S$31*F18</f>
        <v>340.71579671976497</v>
      </c>
      <c r="H18">
        <v>100</v>
      </c>
      <c r="I18" s="85">
        <f>MAX(2.5%,Exist_Raw!$N$3*H18)</f>
        <v>2.5000000000000001E-2</v>
      </c>
      <c r="J18" s="44">
        <f>ROUND(16/8760*H18/100,4)</f>
        <v>1.8E-3</v>
      </c>
      <c r="K18" s="14">
        <f t="shared" ref="K18:K20" si="21">H18/$H$21*$K$21</f>
        <v>36.230303030303027</v>
      </c>
      <c r="L18" s="14">
        <f>ROUND(K18/G18*1000,1)</f>
        <v>106.3</v>
      </c>
      <c r="M18">
        <v>2017</v>
      </c>
      <c r="N18" s="96">
        <f t="shared" ref="N18:N19" si="22">K18/H18</f>
        <v>0.36230303030303029</v>
      </c>
      <c r="O18" t="str">
        <f>P18&amp;" "&amp;Q18&amp;" "&amp;R18&amp;" "&amp;S18&amp;" "&amp;T18&amp;" "&amp;U18&amp;" "&amp;V18&amp;" "&amp;W18&amp;" "&amp;X18&amp;" "&amp;Y18&amp;" "&amp;Z18</f>
        <v>0 0 0 0 0 0 0 341 0 0 0</v>
      </c>
      <c r="P18">
        <f>IF(P$6=$M18,ROUND($G18,0),0)</f>
        <v>0</v>
      </c>
      <c r="Q18">
        <f t="shared" si="18"/>
        <v>0</v>
      </c>
      <c r="R18">
        <f t="shared" si="18"/>
        <v>0</v>
      </c>
      <c r="S18">
        <f t="shared" si="18"/>
        <v>0</v>
      </c>
      <c r="T18">
        <f t="shared" si="18"/>
        <v>0</v>
      </c>
      <c r="U18">
        <f t="shared" si="18"/>
        <v>0</v>
      </c>
      <c r="V18">
        <f t="shared" si="18"/>
        <v>0</v>
      </c>
      <c r="W18">
        <f t="shared" si="18"/>
        <v>341</v>
      </c>
      <c r="X18">
        <f t="shared" si="18"/>
        <v>0</v>
      </c>
      <c r="Y18">
        <f t="shared" si="18"/>
        <v>0</v>
      </c>
      <c r="Z18">
        <f t="shared" si="18"/>
        <v>0</v>
      </c>
    </row>
    <row r="19" spans="1:31" x14ac:dyDescent="0.25">
      <c r="A19" t="str">
        <f t="shared" si="19"/>
        <v>ELNCOMVGGAwGBw</v>
      </c>
      <c r="B19" t="str">
        <f t="shared" si="20"/>
        <v>ELNCOMVGGBwGAw</v>
      </c>
      <c r="C19" t="s">
        <v>118</v>
      </c>
      <c r="D19" t="s">
        <v>121</v>
      </c>
      <c r="E19" t="s">
        <v>176</v>
      </c>
      <c r="F19">
        <v>225</v>
      </c>
      <c r="G19" s="14">
        <f>$S$29+$S$30*H19+$S$31*F19</f>
        <v>329.0626122073046</v>
      </c>
      <c r="H19">
        <v>250</v>
      </c>
      <c r="I19" s="85">
        <f>MAX(2.5%,Exist_Raw!$N$3*H19)</f>
        <v>2.9278968547261228E-2</v>
      </c>
      <c r="J19" s="44">
        <f>ROUND(16/8760*H19/100,4)</f>
        <v>4.5999999999999999E-3</v>
      </c>
      <c r="K19" s="14">
        <f t="shared" si="21"/>
        <v>90.575757575757578</v>
      </c>
      <c r="L19" s="14">
        <f>ROUND(K19/G19*1000,1)</f>
        <v>275.3</v>
      </c>
      <c r="M19">
        <v>2017</v>
      </c>
      <c r="N19" s="96">
        <f t="shared" si="22"/>
        <v>0.36230303030303029</v>
      </c>
      <c r="O19" t="str">
        <f>P19&amp;" "&amp;Q19&amp;" "&amp;R19&amp;" "&amp;S19&amp;" "&amp;T19&amp;" "&amp;U19&amp;" "&amp;V19&amp;" "&amp;W19&amp;" "&amp;X19&amp;" "&amp;Y19&amp;" "&amp;Z19</f>
        <v>0 0 0 0 0 0 0 329 0 0 0</v>
      </c>
      <c r="P19">
        <f>IF(P$6=$M19,ROUND($G19,0),0)</f>
        <v>0</v>
      </c>
      <c r="Q19">
        <f t="shared" si="18"/>
        <v>0</v>
      </c>
      <c r="R19">
        <f t="shared" si="18"/>
        <v>0</v>
      </c>
      <c r="S19">
        <f t="shared" si="18"/>
        <v>0</v>
      </c>
      <c r="T19">
        <f t="shared" si="18"/>
        <v>0</v>
      </c>
      <c r="U19">
        <f t="shared" si="18"/>
        <v>0</v>
      </c>
      <c r="V19">
        <f t="shared" si="18"/>
        <v>0</v>
      </c>
      <c r="W19">
        <f t="shared" si="18"/>
        <v>329</v>
      </c>
      <c r="X19">
        <f t="shared" si="18"/>
        <v>0</v>
      </c>
      <c r="Y19">
        <f t="shared" si="18"/>
        <v>0</v>
      </c>
      <c r="Z19">
        <f t="shared" si="18"/>
        <v>0</v>
      </c>
    </row>
    <row r="20" spans="1:31" x14ac:dyDescent="0.25">
      <c r="A20" t="str">
        <f t="shared" si="19"/>
        <v>ELNCOMVGGBwGUw</v>
      </c>
      <c r="B20" t="str">
        <f t="shared" si="20"/>
        <v>ELNCOMVGGUwGBw</v>
      </c>
      <c r="C20" t="s">
        <v>121</v>
      </c>
      <c r="D20" t="s">
        <v>120</v>
      </c>
      <c r="E20" t="s">
        <v>175</v>
      </c>
      <c r="F20">
        <v>225</v>
      </c>
      <c r="G20" s="14">
        <f>$S$29+$S$30*H20+$S$31*F20</f>
        <v>309.64063801987066</v>
      </c>
      <c r="H20">
        <v>500</v>
      </c>
      <c r="I20" s="85">
        <f>MAX(2.5%,Exist_Raw!$N$3*H20)</f>
        <v>5.8557937094522457E-2</v>
      </c>
      <c r="J20" s="44">
        <f>ROUND(16/8760*H20/100,4)</f>
        <v>9.1000000000000004E-3</v>
      </c>
      <c r="K20" s="14">
        <f t="shared" si="21"/>
        <v>181.15151515151516</v>
      </c>
      <c r="L20" s="14">
        <f>ROUND(K20/G20*1000,1)</f>
        <v>585</v>
      </c>
      <c r="M20">
        <v>2017</v>
      </c>
      <c r="N20" s="96">
        <f>K20/H20</f>
        <v>0.36230303030303029</v>
      </c>
      <c r="O20" t="str">
        <f>P20&amp;" "&amp;Q20&amp;" "&amp;R20&amp;" "&amp;S20&amp;" "&amp;T20&amp;" "&amp;U20&amp;" "&amp;V20&amp;" "&amp;W20&amp;" "&amp;X20&amp;" "&amp;Y20&amp;" "&amp;Z20</f>
        <v>0 0 0 0 0 0 0 310 0 0 0</v>
      </c>
      <c r="P20">
        <f>IF(P$6=$M20,ROUND($G20,0),0)</f>
        <v>0</v>
      </c>
      <c r="Q20">
        <f t="shared" si="18"/>
        <v>0</v>
      </c>
      <c r="R20">
        <f t="shared" si="18"/>
        <v>0</v>
      </c>
      <c r="S20">
        <f t="shared" si="18"/>
        <v>0</v>
      </c>
      <c r="T20">
        <f t="shared" si="18"/>
        <v>0</v>
      </c>
      <c r="U20">
        <f t="shared" si="18"/>
        <v>0</v>
      </c>
      <c r="V20">
        <f t="shared" si="18"/>
        <v>0</v>
      </c>
      <c r="W20">
        <f t="shared" si="18"/>
        <v>310</v>
      </c>
      <c r="X20">
        <f t="shared" si="18"/>
        <v>0</v>
      </c>
      <c r="Y20">
        <f t="shared" si="18"/>
        <v>0</v>
      </c>
      <c r="Z20">
        <f t="shared" si="18"/>
        <v>0</v>
      </c>
    </row>
    <row r="21" spans="1:31" x14ac:dyDescent="0.25">
      <c r="H21">
        <f>SUM(H17:H20)</f>
        <v>1650</v>
      </c>
      <c r="I21" s="85"/>
      <c r="J21" s="44"/>
      <c r="K21">
        <f>427*Q37</f>
        <v>597.79999999999995</v>
      </c>
      <c r="L21" s="14"/>
      <c r="N21" s="89"/>
      <c r="O21" s="13"/>
    </row>
    <row r="22" spans="1:31" x14ac:dyDescent="0.25">
      <c r="C22" s="54" t="s">
        <v>162</v>
      </c>
      <c r="L22" s="14"/>
    </row>
    <row r="23" spans="1:31" x14ac:dyDescent="0.25">
      <c r="A23" t="str">
        <f>"ELNChub"&amp;C23&amp;D23</f>
        <v>ELNChubGHwBUw</v>
      </c>
      <c r="B23" t="str">
        <f>"ELNChub"&amp;D23&amp;C23</f>
        <v>ELNChubBUwGHw</v>
      </c>
      <c r="C23" t="s">
        <v>119</v>
      </c>
      <c r="D23" t="s">
        <v>116</v>
      </c>
      <c r="E23" t="s">
        <v>243</v>
      </c>
      <c r="F23">
        <v>225</v>
      </c>
      <c r="G23" s="14">
        <f>$S$29+$S$30*H23+$S$31*F23</f>
        <v>332.17012807729401</v>
      </c>
      <c r="H23">
        <v>210</v>
      </c>
      <c r="I23" s="85">
        <f>MAX(2.5%,Exist_Raw!$N$3*H23)</f>
        <v>2.5000000000000001E-2</v>
      </c>
      <c r="J23" s="44">
        <f>ROUND(16/8760*H23/100,4)</f>
        <v>3.8E-3</v>
      </c>
      <c r="K23" s="14">
        <f>H23/(H23+H24)*170*Q37*AE33/AC33</f>
        <v>67.003113246646606</v>
      </c>
      <c r="L23" s="14">
        <f>ROUND(K23/G23*1000,1)</f>
        <v>201.7</v>
      </c>
      <c r="M23" s="110">
        <v>2013</v>
      </c>
      <c r="N23" s="96">
        <f>K23/H23</f>
        <v>0.31906244403165052</v>
      </c>
      <c r="O23" t="str">
        <f>P23&amp;" "&amp;Q23&amp;" "&amp;R23&amp;" "&amp;S23&amp;" "&amp;T23&amp;" "&amp;U23&amp;" "&amp;V23&amp;" "&amp;W23&amp;" "&amp;X23&amp;" "&amp;Y23&amp;" "&amp;Z23</f>
        <v>0 0 0 332 0 332 0 0 0 0 0</v>
      </c>
      <c r="P23">
        <f>IF(P$6=$M23,ROUND($G23,0),0)</f>
        <v>0</v>
      </c>
      <c r="Q23">
        <f t="shared" ref="Q23:Z25" si="23">IF(Q$6=$M23,ROUND($G23,0),0)</f>
        <v>0</v>
      </c>
      <c r="R23">
        <f t="shared" si="23"/>
        <v>0</v>
      </c>
      <c r="S23">
        <f t="shared" si="23"/>
        <v>332</v>
      </c>
      <c r="T23">
        <f t="shared" si="23"/>
        <v>0</v>
      </c>
      <c r="U23" s="110">
        <f>S23</f>
        <v>332</v>
      </c>
      <c r="V23">
        <f t="shared" si="23"/>
        <v>0</v>
      </c>
      <c r="W23">
        <f t="shared" si="23"/>
        <v>0</v>
      </c>
      <c r="X23">
        <f t="shared" si="23"/>
        <v>0</v>
      </c>
      <c r="Y23">
        <f t="shared" si="23"/>
        <v>0</v>
      </c>
      <c r="Z23">
        <f t="shared" si="23"/>
        <v>0</v>
      </c>
    </row>
    <row r="24" spans="1:31" x14ac:dyDescent="0.25">
      <c r="A24" t="str">
        <f>"ELNChub"&amp;C24&amp;D24</f>
        <v>ELNChubBUwMAw</v>
      </c>
      <c r="B24" t="str">
        <f>"ELNChub"&amp;D24&amp;C24</f>
        <v>ELNChubMAwBUw</v>
      </c>
      <c r="C24" t="s">
        <v>116</v>
      </c>
      <c r="D24" t="s">
        <v>123</v>
      </c>
      <c r="E24" t="s">
        <v>180</v>
      </c>
      <c r="F24">
        <v>225</v>
      </c>
      <c r="G24" s="14">
        <f>$S$29+$S$30*H24+$S$31*F24</f>
        <v>305.75624318238391</v>
      </c>
      <c r="H24">
        <v>550</v>
      </c>
      <c r="I24" s="85">
        <f>MAX(2.5%,Exist_Raw!$N$3*H24)</f>
        <v>6.4413730803974709E-2</v>
      </c>
      <c r="J24" s="44">
        <f>ROUND(16/8760*H24/100,4)</f>
        <v>0.01</v>
      </c>
      <c r="K24" s="14">
        <f>H24/(H23+H24)*170*Q37*AE33/AC33</f>
        <v>175.48434421740777</v>
      </c>
      <c r="L24" s="14">
        <f>ROUND(K24/G24*1000,1)</f>
        <v>573.9</v>
      </c>
      <c r="M24" s="110">
        <v>2015</v>
      </c>
      <c r="N24" s="96">
        <f t="shared" ref="N24:N25" si="24">K24/H24</f>
        <v>0.31906244403165046</v>
      </c>
      <c r="O24" t="str">
        <f>P24&amp;" "&amp;Q24&amp;" "&amp;R24&amp;" "&amp;S24&amp;" "&amp;T24&amp;" "&amp;U24&amp;" "&amp;V24&amp;" "&amp;W24&amp;" "&amp;X24&amp;" "&amp;Y24&amp;" "&amp;Z24</f>
        <v>0 0 0 0 0 306 0 0 0 0 0</v>
      </c>
      <c r="P24">
        <f>IF(P$6=$M24,ROUND($G24,0),0)</f>
        <v>0</v>
      </c>
      <c r="Q24">
        <f t="shared" si="23"/>
        <v>0</v>
      </c>
      <c r="R24">
        <f t="shared" si="23"/>
        <v>0</v>
      </c>
      <c r="S24">
        <f t="shared" si="23"/>
        <v>0</v>
      </c>
      <c r="T24">
        <f t="shared" si="23"/>
        <v>0</v>
      </c>
      <c r="U24">
        <f t="shared" si="23"/>
        <v>306</v>
      </c>
      <c r="V24">
        <f t="shared" si="23"/>
        <v>0</v>
      </c>
      <c r="W24">
        <f t="shared" si="23"/>
        <v>0</v>
      </c>
      <c r="X24">
        <f t="shared" si="23"/>
        <v>0</v>
      </c>
      <c r="Y24">
        <f t="shared" si="23"/>
        <v>0</v>
      </c>
      <c r="Z24">
        <f t="shared" si="23"/>
        <v>0</v>
      </c>
    </row>
    <row r="25" spans="1:31" x14ac:dyDescent="0.25">
      <c r="A25" t="str">
        <f>"ELNChub"&amp;C25&amp;D25</f>
        <v>ELNChubMAwCIw</v>
      </c>
      <c r="B25" t="str">
        <f>"ELNChub"&amp;D25&amp;C25</f>
        <v>ELNChubCIwMAw</v>
      </c>
      <c r="C25" t="s">
        <v>123</v>
      </c>
      <c r="D25" t="s">
        <v>117</v>
      </c>
      <c r="E25" t="s">
        <v>181</v>
      </c>
      <c r="F25">
        <v>225</v>
      </c>
      <c r="G25" s="14">
        <f>$S$29+$S$30*H25+$S$31*F25</f>
        <v>319.7400645973363</v>
      </c>
      <c r="H25">
        <v>370</v>
      </c>
      <c r="I25" s="85">
        <f>MAX(2.5%,Exist_Raw!$N$3*H25)</f>
        <v>4.3332873449946616E-2</v>
      </c>
      <c r="J25" s="44">
        <f>ROUND(16/8760*H25/100,4)</f>
        <v>6.7999999999999996E-3</v>
      </c>
      <c r="K25" s="14">
        <f>96*Q37*AE33/AC33</f>
        <v>136.9340936267601</v>
      </c>
      <c r="L25" s="14">
        <f>ROUND(K25/G25*1000,1)</f>
        <v>428.3</v>
      </c>
      <c r="M25" s="110">
        <v>2012</v>
      </c>
      <c r="N25" s="96">
        <f t="shared" si="24"/>
        <v>0.37009214493718945</v>
      </c>
      <c r="O25" t="str">
        <f>P25&amp;" "&amp;Q25&amp;" "&amp;R25&amp;" "&amp;S25&amp;" "&amp;T25&amp;" "&amp;U25&amp;" "&amp;V25&amp;" "&amp;W25&amp;" "&amp;X25&amp;" "&amp;Y25&amp;" "&amp;Z25</f>
        <v>0 0 320 0 0 0 0 0 0 0 0</v>
      </c>
      <c r="P25">
        <f>IF(P$6=$M25,ROUND($G25,0),0)</f>
        <v>0</v>
      </c>
      <c r="Q25">
        <f t="shared" si="23"/>
        <v>0</v>
      </c>
      <c r="R25">
        <f t="shared" si="23"/>
        <v>320</v>
      </c>
      <c r="S25">
        <f t="shared" si="23"/>
        <v>0</v>
      </c>
      <c r="T25">
        <f t="shared" si="23"/>
        <v>0</v>
      </c>
      <c r="U25">
        <f t="shared" si="23"/>
        <v>0</v>
      </c>
      <c r="V25">
        <f t="shared" si="23"/>
        <v>0</v>
      </c>
      <c r="W25">
        <f t="shared" si="23"/>
        <v>0</v>
      </c>
      <c r="X25">
        <f t="shared" si="23"/>
        <v>0</v>
      </c>
      <c r="Y25">
        <f t="shared" si="23"/>
        <v>0</v>
      </c>
      <c r="Z25">
        <f t="shared" si="23"/>
        <v>0</v>
      </c>
    </row>
    <row r="26" spans="1:31" x14ac:dyDescent="0.25">
      <c r="G26" s="14"/>
      <c r="I26" s="85"/>
      <c r="J26" s="44"/>
      <c r="K26" s="14"/>
      <c r="L26" s="14"/>
      <c r="N26" s="96"/>
    </row>
    <row r="27" spans="1:31" ht="18" thickBot="1" x14ac:dyDescent="0.35">
      <c r="C27" s="99" t="s">
        <v>190</v>
      </c>
      <c r="D27" s="99"/>
      <c r="E27" s="99"/>
      <c r="K27" s="14"/>
      <c r="O27" s="13"/>
    </row>
    <row r="28" spans="1:31" ht="15.75" thickTop="1" x14ac:dyDescent="0.25">
      <c r="C28" s="54" t="s">
        <v>161</v>
      </c>
      <c r="L28" s="14"/>
      <c r="P28" s="13"/>
      <c r="S28" t="s">
        <v>169</v>
      </c>
    </row>
    <row r="29" spans="1:31" x14ac:dyDescent="0.25">
      <c r="A29" t="str">
        <f>"ELNUCoN"&amp;C29&amp;D29</f>
        <v>ELNUCoNNGwNIw</v>
      </c>
      <c r="B29" t="str">
        <f>"ELNUCoN"&amp;D29&amp;C29</f>
        <v>ELNUCoNNIwNGw</v>
      </c>
      <c r="C29" t="s">
        <v>125</v>
      </c>
      <c r="D29" t="s">
        <v>124</v>
      </c>
      <c r="E29" t="s">
        <v>177</v>
      </c>
      <c r="F29">
        <v>330</v>
      </c>
      <c r="G29" s="14">
        <f>$S$29+$S$30*H29+$S$31*F29</f>
        <v>653.07020800614441</v>
      </c>
      <c r="H29">
        <v>268</v>
      </c>
      <c r="I29" s="85">
        <f>MAX(2.5%,Exist_Raw!$N$3*H29)</f>
        <v>3.1387054282664036E-2</v>
      </c>
      <c r="J29" s="44">
        <f>ROUND(16/8760*H29/100,4)</f>
        <v>4.8999999999999998E-3</v>
      </c>
      <c r="K29" s="14">
        <f>H29/$H$32*$K$32</f>
        <v>143.06959008579602</v>
      </c>
      <c r="L29" s="14">
        <f>ROUND(K29/G29*1000,1)</f>
        <v>219.1</v>
      </c>
      <c r="M29" s="110">
        <v>2016</v>
      </c>
      <c r="N29" s="96">
        <f>K29/H29</f>
        <v>0.53384175405147771</v>
      </c>
      <c r="P29" s="90" t="s">
        <v>167</v>
      </c>
      <c r="Q29">
        <f>AE33/AA33</f>
        <v>1.0716649560506379</v>
      </c>
      <c r="R29" t="s">
        <v>50</v>
      </c>
      <c r="S29">
        <v>-348.81393776312251</v>
      </c>
    </row>
    <row r="30" spans="1:31" x14ac:dyDescent="0.25">
      <c r="A30" t="str">
        <f t="shared" ref="A30:A31" si="25">"ELNUCoN"&amp;C30&amp;D30</f>
        <v>ELNUCoNNIwTBw</v>
      </c>
      <c r="B30" t="str">
        <f t="shared" ref="B30:B31" si="26">"ELNUCoN"&amp;D30&amp;C30</f>
        <v>ELNUCoNTBwNIw</v>
      </c>
      <c r="C30" t="s">
        <v>124</v>
      </c>
      <c r="D30" t="s">
        <v>128</v>
      </c>
      <c r="E30" t="s">
        <v>178</v>
      </c>
      <c r="F30">
        <v>330</v>
      </c>
      <c r="G30" s="14">
        <f>$S$29+$S$30*H30+$S$31*F30</f>
        <v>649.65194054915605</v>
      </c>
      <c r="H30">
        <v>312</v>
      </c>
      <c r="I30" s="85">
        <f>MAX(2.5%,Exist_Raw!$N$3*H30)</f>
        <v>3.6540152746982017E-2</v>
      </c>
      <c r="J30" s="44">
        <f>ROUND(16/8760*H30/100,4)</f>
        <v>5.7000000000000002E-3</v>
      </c>
      <c r="K30" s="14">
        <f t="shared" ref="K30:K31" si="27">H30/$H$32*$K$32</f>
        <v>166.55862726406102</v>
      </c>
      <c r="L30" s="14">
        <f>ROUND(K30/G30*1000,1)</f>
        <v>256.39999999999998</v>
      </c>
      <c r="M30" s="110">
        <f>M29</f>
        <v>2016</v>
      </c>
      <c r="N30" s="96">
        <f t="shared" ref="N30:N31" si="28">K30/H30</f>
        <v>0.5338417540514776</v>
      </c>
      <c r="P30" s="13"/>
      <c r="R30" t="s">
        <v>51</v>
      </c>
      <c r="S30">
        <v>-7.7687896749735696E-2</v>
      </c>
      <c r="U30" s="91" t="s">
        <v>168</v>
      </c>
    </row>
    <row r="31" spans="1:31" x14ac:dyDescent="0.25">
      <c r="A31" t="str">
        <f t="shared" si="25"/>
        <v>ELNUCoNNIwBUw</v>
      </c>
      <c r="B31" t="str">
        <f t="shared" si="26"/>
        <v>ELNUCoNBUwNIw</v>
      </c>
      <c r="C31" t="s">
        <v>124</v>
      </c>
      <c r="D31" t="s">
        <v>116</v>
      </c>
      <c r="E31" t="s">
        <v>179</v>
      </c>
      <c r="F31">
        <v>330</v>
      </c>
      <c r="G31" s="14">
        <f>$S$29+$S$30*H31+$S$31*F31</f>
        <v>637.4549407594476</v>
      </c>
      <c r="H31">
        <v>469</v>
      </c>
      <c r="I31" s="85">
        <f>MAX(2.5%,Exist_Raw!$N$3*H31)</f>
        <v>5.4927344994662064E-2</v>
      </c>
      <c r="J31" s="44">
        <f>ROUND(16/8760*H31/100,4)</f>
        <v>8.6E-3</v>
      </c>
      <c r="K31" s="14">
        <f t="shared" si="27"/>
        <v>250.37178265014299</v>
      </c>
      <c r="L31" s="14">
        <f>ROUND(K31/G31*1000,1)</f>
        <v>392.8</v>
      </c>
      <c r="M31" s="110">
        <f>M30</f>
        <v>2016</v>
      </c>
      <c r="N31" s="96">
        <f t="shared" si="28"/>
        <v>0.5338417540514776</v>
      </c>
      <c r="P31" s="13"/>
      <c r="R31" t="s">
        <v>52</v>
      </c>
      <c r="S31">
        <v>3.0991045518127156</v>
      </c>
      <c r="U31" s="92">
        <v>2000</v>
      </c>
      <c r="V31" s="92">
        <v>2001</v>
      </c>
      <c r="W31" s="92">
        <v>2002</v>
      </c>
      <c r="X31" s="92">
        <v>2003</v>
      </c>
      <c r="Y31" s="92">
        <v>2004</v>
      </c>
      <c r="Z31" s="92">
        <v>2005</v>
      </c>
      <c r="AA31" s="92">
        <v>2006</v>
      </c>
      <c r="AB31" s="92">
        <v>2007</v>
      </c>
      <c r="AC31" s="92">
        <v>2008</v>
      </c>
      <c r="AD31" s="92">
        <v>2009</v>
      </c>
      <c r="AE31" s="92">
        <v>2010</v>
      </c>
    </row>
    <row r="32" spans="1:31" x14ac:dyDescent="0.25">
      <c r="H32">
        <f>SUM(H29:H31)</f>
        <v>1049</v>
      </c>
      <c r="I32" s="10"/>
      <c r="J32" s="44"/>
      <c r="K32">
        <f>400*Q37</f>
        <v>560</v>
      </c>
      <c r="L32" s="14"/>
      <c r="N32" s="89"/>
      <c r="U32" s="93">
        <v>2.1635805504784602</v>
      </c>
      <c r="V32" s="93">
        <v>2.2671398465768702</v>
      </c>
      <c r="W32" s="93">
        <v>1.6245670393856999</v>
      </c>
      <c r="X32" s="93">
        <v>2.1553754412521502</v>
      </c>
      <c r="Y32" s="93">
        <v>2.8345692622040302</v>
      </c>
      <c r="Z32" s="93">
        <v>3.33465966170388</v>
      </c>
      <c r="AA32" s="93">
        <v>3.2525297973129899</v>
      </c>
      <c r="AB32" s="93">
        <v>2.9410667446596199</v>
      </c>
      <c r="AC32" s="93">
        <v>2.1781516163835</v>
      </c>
      <c r="AD32" s="93">
        <v>0.92363494772816102</v>
      </c>
      <c r="AE32" s="93">
        <v>0.95304869092815603</v>
      </c>
    </row>
    <row r="33" spans="1:31" x14ac:dyDescent="0.25">
      <c r="L33" s="14"/>
      <c r="U33" s="94">
        <v>1</v>
      </c>
      <c r="V33" s="94">
        <v>1.0226713984657687</v>
      </c>
      <c r="W33" s="94">
        <v>1.0392853809264684</v>
      </c>
      <c r="X33" s="94">
        <v>1.0616858827914812</v>
      </c>
      <c r="Y33" s="94">
        <v>1.0917801044862481</v>
      </c>
      <c r="Z33" s="94">
        <v>1.1281872552250594</v>
      </c>
      <c r="AA33" s="94">
        <v>1.1648818818707418</v>
      </c>
      <c r="AB33" s="94">
        <v>1.1991418355130072</v>
      </c>
      <c r="AC33" s="94">
        <v>1.2252609627859647</v>
      </c>
      <c r="AD33" s="94">
        <v>1.2365779012391265</v>
      </c>
      <c r="AE33" s="94">
        <v>1.2483630907391929</v>
      </c>
    </row>
    <row r="34" spans="1:31" x14ac:dyDescent="0.25">
      <c r="G34" s="14"/>
      <c r="I34" s="85"/>
      <c r="J34" s="44"/>
      <c r="K34" s="14"/>
      <c r="L34" s="14"/>
      <c r="N34" s="96"/>
      <c r="R34" s="11"/>
      <c r="U34" s="94">
        <v>1</v>
      </c>
      <c r="V34" s="94">
        <v>0.97783119924955286</v>
      </c>
      <c r="W34" s="94">
        <v>0.96219962134803871</v>
      </c>
      <c r="X34" s="94">
        <v>0.94189817930959852</v>
      </c>
      <c r="Y34" s="94">
        <v>0.91593535721239727</v>
      </c>
      <c r="Z34" s="94">
        <v>0.8863776783230124</v>
      </c>
      <c r="AA34" s="94">
        <v>0.85845613668061371</v>
      </c>
      <c r="AB34" s="94">
        <v>0.83392970738293692</v>
      </c>
      <c r="AC34" s="94">
        <v>0.81615266491982852</v>
      </c>
      <c r="AD34" s="94">
        <v>0.80868338258183248</v>
      </c>
      <c r="AE34" s="94">
        <v>0.80104899561542642</v>
      </c>
    </row>
    <row r="35" spans="1:31" x14ac:dyDescent="0.25">
      <c r="G35" s="14"/>
      <c r="I35" s="85"/>
      <c r="J35" s="44"/>
      <c r="K35" s="14"/>
      <c r="L35" s="14"/>
      <c r="N35" s="96"/>
      <c r="R35" s="11"/>
    </row>
    <row r="36" spans="1:31" x14ac:dyDescent="0.25">
      <c r="C36" s="54" t="s">
        <v>162</v>
      </c>
      <c r="G36" s="14"/>
      <c r="I36" s="85"/>
      <c r="J36" s="44"/>
      <c r="K36" s="14"/>
      <c r="L36" s="14"/>
      <c r="N36" s="96"/>
    </row>
    <row r="37" spans="1:31" x14ac:dyDescent="0.25">
      <c r="A37" t="str">
        <f t="shared" ref="A37" si="29">"ELNUhub"&amp;C37&amp;D37</f>
        <v>ELNUhubGUwMAw</v>
      </c>
      <c r="B37" t="str">
        <f t="shared" ref="B37" si="30">"ELNUhub"&amp;D37&amp;C37</f>
        <v>ELNUhubMAwGUw</v>
      </c>
      <c r="C37" t="s">
        <v>120</v>
      </c>
      <c r="D37" t="s">
        <v>123</v>
      </c>
      <c r="E37" t="s">
        <v>182</v>
      </c>
      <c r="F37">
        <v>225</v>
      </c>
      <c r="G37" s="14">
        <f>$S$29+$S$30*H37+$S$31*F37</f>
        <v>321.29382253233103</v>
      </c>
      <c r="H37">
        <v>350</v>
      </c>
      <c r="I37" s="85">
        <f>MAX(2.5%,Exist_Raw!$N$3*H37)</f>
        <v>4.0990555966165722E-2</v>
      </c>
      <c r="J37" s="44">
        <f>ROUND(16/8760*H37/100,4)</f>
        <v>6.4000000000000003E-3</v>
      </c>
      <c r="K37" s="14">
        <f>AVERAGE(N23:N25)*H37</f>
        <v>117.62532051672389</v>
      </c>
      <c r="L37" s="14">
        <f>ROUND(K37/G37*1000,1)</f>
        <v>366.1</v>
      </c>
      <c r="M37" s="110">
        <v>2016</v>
      </c>
      <c r="P37" t="s">
        <v>166</v>
      </c>
      <c r="Q37">
        <v>1.4</v>
      </c>
    </row>
    <row r="38" spans="1:31" x14ac:dyDescent="0.25">
      <c r="H38">
        <f>SUM(H34:H37)</f>
        <v>350</v>
      </c>
      <c r="I38" s="10"/>
      <c r="J38" s="10"/>
      <c r="L38" s="14"/>
    </row>
    <row r="39" spans="1:31" ht="18" thickBot="1" x14ac:dyDescent="0.35">
      <c r="C39" s="99" t="s">
        <v>191</v>
      </c>
      <c r="D39" s="99"/>
      <c r="E39" s="99"/>
      <c r="K39" s="14"/>
      <c r="O39" s="13"/>
    </row>
    <row r="40" spans="1:31" ht="15.75" thickTop="1" x14ac:dyDescent="0.25">
      <c r="C40" s="54" t="s">
        <v>164</v>
      </c>
      <c r="L40" s="14"/>
    </row>
    <row r="41" spans="1:31" x14ac:dyDescent="0.25">
      <c r="A41" t="str">
        <f>"ELNUDme"&amp;C41&amp;D41</f>
        <v>ELNUDmeNGwTBw</v>
      </c>
      <c r="B41" t="str">
        <f>"ELNUDMe"&amp;D41&amp;C41</f>
        <v>ELNUDMeTBwNGw</v>
      </c>
      <c r="C41" t="s">
        <v>125</v>
      </c>
      <c r="D41" t="s">
        <v>128</v>
      </c>
      <c r="E41" t="s">
        <v>183</v>
      </c>
      <c r="F41">
        <v>330</v>
      </c>
      <c r="G41" s="14">
        <f>$S$29+$S$30*H41+$S$31*F41</f>
        <v>646.69980047266608</v>
      </c>
      <c r="H41">
        <v>350</v>
      </c>
      <c r="I41" s="85">
        <f>MAX(2.5%,Exist_Raw!$N$3*H41)</f>
        <v>4.0990555966165722E-2</v>
      </c>
      <c r="J41" s="44">
        <f>ROUND(16/8760*H41/100,4)</f>
        <v>6.4000000000000003E-3</v>
      </c>
      <c r="K41" s="14">
        <f>$O$4*H41</f>
        <v>164.61835119729156</v>
      </c>
      <c r="L41" s="14">
        <f>ROUND(K41/G41*1000,1)</f>
        <v>254.6</v>
      </c>
      <c r="M41">
        <v>2020</v>
      </c>
      <c r="N41" s="89"/>
      <c r="O41" s="13"/>
    </row>
    <row r="42" spans="1:31" x14ac:dyDescent="0.25">
      <c r="A42" t="str">
        <f>"ELNUDMe"&amp;C42&amp;D42</f>
        <v>ELNUDMeTBwGHw</v>
      </c>
      <c r="B42" t="str">
        <f>"ELNUDMe"&amp;D42&amp;C42</f>
        <v>ELNUDMeGHwTBw</v>
      </c>
      <c r="C42" t="s">
        <v>128</v>
      </c>
      <c r="D42" t="s">
        <v>119</v>
      </c>
      <c r="E42" t="s">
        <v>184</v>
      </c>
      <c r="F42">
        <v>330</v>
      </c>
      <c r="G42" s="14">
        <f>$S$29+$S$30*H42+$S$31*F42</f>
        <v>654.4685901476397</v>
      </c>
      <c r="H42">
        <v>250</v>
      </c>
      <c r="I42" s="85">
        <f>MAX(2.5%,Exist_Raw!$N$3*H42)</f>
        <v>2.9278968547261228E-2</v>
      </c>
      <c r="J42" s="44">
        <f>ROUND(16/8760*H42/100,4)</f>
        <v>4.5999999999999999E-3</v>
      </c>
      <c r="K42" s="14">
        <f>$O$4*H42</f>
        <v>117.58453656949396</v>
      </c>
      <c r="L42" s="14">
        <f>ROUND(K42/G42*1000,1)</f>
        <v>179.7</v>
      </c>
      <c r="M42">
        <v>2020</v>
      </c>
      <c r="N42" s="89"/>
      <c r="O42" s="13"/>
    </row>
    <row r="43" spans="1:31" x14ac:dyDescent="0.25">
      <c r="I43" s="85"/>
      <c r="J43" s="44"/>
      <c r="K43" s="14"/>
      <c r="L43" s="14"/>
      <c r="N43" s="89"/>
      <c r="O43" s="13"/>
    </row>
    <row r="44" spans="1:31" x14ac:dyDescent="0.25">
      <c r="C44" s="54" t="s">
        <v>187</v>
      </c>
      <c r="I44" s="85"/>
      <c r="J44" s="44"/>
      <c r="K44" s="14"/>
      <c r="L44" s="14"/>
      <c r="N44" s="89"/>
      <c r="O44" s="13"/>
    </row>
    <row r="45" spans="1:31" x14ac:dyDescent="0.25">
      <c r="A45" t="str">
        <f>"ELNUOMVG"&amp;C45&amp;D45</f>
        <v>ELNUOMVGMAwSEw</v>
      </c>
      <c r="B45" t="str">
        <f>"ELNUOMVS"&amp;D45&amp;C45</f>
        <v>ELNUOMVSSEwMAw</v>
      </c>
      <c r="C45" t="s">
        <v>123</v>
      </c>
      <c r="D45" t="s">
        <v>126</v>
      </c>
      <c r="E45" t="s">
        <v>188</v>
      </c>
      <c r="F45">
        <v>225</v>
      </c>
      <c r="G45" s="14">
        <f>$S$29+$S$30*H45+$S$31*F45</f>
        <v>329.0626122073046</v>
      </c>
      <c r="H45">
        <v>250</v>
      </c>
      <c r="I45" s="85">
        <f>MAX(2.5%,Exist_Raw!$N$3*H45)</f>
        <v>2.9278968547261228E-2</v>
      </c>
      <c r="J45" s="44">
        <f>ROUND(16/8760*H45/100,4)</f>
        <v>4.5999999999999999E-3</v>
      </c>
      <c r="K45" s="14">
        <f>$N$4*H45</f>
        <v>98.621212121212096</v>
      </c>
      <c r="L45" s="14">
        <f>ROUND(K45/G45*1000,1)</f>
        <v>299.7</v>
      </c>
      <c r="M45">
        <v>2020</v>
      </c>
      <c r="N45" s="89"/>
      <c r="O45" s="13"/>
    </row>
    <row r="47" spans="1:31" x14ac:dyDescent="0.25">
      <c r="C47" s="54" t="s">
        <v>244</v>
      </c>
    </row>
    <row r="48" spans="1:31" x14ac:dyDescent="0.25">
      <c r="A48" t="str">
        <f>"ELNULICI"&amp;C48&amp;D48</f>
        <v>ELNULICILIwCIw</v>
      </c>
      <c r="B48" t="str">
        <f>"ELNULICI"&amp;D48&amp;C48</f>
        <v>ELNULICICIwLIw</v>
      </c>
      <c r="C48" t="s">
        <v>122</v>
      </c>
      <c r="D48" t="s">
        <v>117</v>
      </c>
      <c r="E48" t="s">
        <v>245</v>
      </c>
      <c r="F48" s="3">
        <v>225</v>
      </c>
      <c r="G48" s="111">
        <f>$S$29+$S$30*H48+$S$31*F48</f>
        <v>329.0626122073046</v>
      </c>
      <c r="H48" s="3">
        <v>250</v>
      </c>
      <c r="I48" s="112">
        <f>MAX(2.5%,Exist_Raw!$N$3*H48)</f>
        <v>2.9278968547261228E-2</v>
      </c>
      <c r="J48" s="113">
        <f>ROUND(16/8760*H48/100,4)</f>
        <v>4.5999999999999999E-3</v>
      </c>
      <c r="K48" s="111">
        <f>$N$4*H48</f>
        <v>98.621212121212096</v>
      </c>
      <c r="L48" s="111">
        <f>ROUND(K48/G48*1000,1)</f>
        <v>299.7</v>
      </c>
      <c r="M48" s="3">
        <v>2020</v>
      </c>
    </row>
    <row r="50" spans="1:13" x14ac:dyDescent="0.25">
      <c r="C50" s="54" t="s">
        <v>246</v>
      </c>
    </row>
    <row r="51" spans="1:13" x14ac:dyDescent="0.25">
      <c r="A51" t="str">
        <f>"ELNUNGTB"&amp;C51&amp;D51</f>
        <v>ELNUNGTBNGwTBw</v>
      </c>
      <c r="B51" t="str">
        <f>"ELNUNGTB"&amp;D51&amp;C51</f>
        <v>ELNUNGTBTBwNGw</v>
      </c>
      <c r="C51" t="s">
        <v>125</v>
      </c>
      <c r="D51" t="s">
        <v>128</v>
      </c>
      <c r="E51" t="s">
        <v>247</v>
      </c>
      <c r="F51" s="3">
        <v>225</v>
      </c>
      <c r="G51" s="111">
        <f>$S$29+$S$30*H51+$S$31*F51</f>
        <v>329.0626122073046</v>
      </c>
      <c r="H51" s="3">
        <v>250</v>
      </c>
      <c r="I51" s="112">
        <f>MAX(2.5%,Exist_Raw!$N$3*H51)</f>
        <v>2.9278968547261228E-2</v>
      </c>
      <c r="J51" s="113">
        <f>ROUND(16/8760*H51/100,4)</f>
        <v>4.5999999999999999E-3</v>
      </c>
      <c r="K51" s="111">
        <f>$N$4*H51</f>
        <v>98.621212121212096</v>
      </c>
      <c r="L51" s="111">
        <f>ROUND(K51/G51*1000,1)</f>
        <v>299.7</v>
      </c>
      <c r="M51" s="3">
        <v>2016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249977111117893"/>
  </sheetPr>
  <dimension ref="B1:P120"/>
  <sheetViews>
    <sheetView topLeftCell="A94" workbookViewId="0">
      <selection activeCell="A108" sqref="A108"/>
    </sheetView>
  </sheetViews>
  <sheetFormatPr defaultRowHeight="15" x14ac:dyDescent="0.25"/>
  <cols>
    <col min="2" max="2" width="19.42578125" customWidth="1"/>
    <col min="3" max="3" width="25.5703125" customWidth="1"/>
    <col min="4" max="4" width="24.5703125" customWidth="1"/>
    <col min="5" max="5" width="7.7109375" style="5" customWidth="1"/>
    <col min="7" max="7" width="8.5703125" style="95" customWidth="1"/>
    <col min="8" max="8" width="7.140625" customWidth="1"/>
    <col min="10" max="10" width="6.42578125" customWidth="1"/>
    <col min="11" max="11" width="11.140625" customWidth="1"/>
    <col min="12" max="12" width="7" customWidth="1"/>
    <col min="13" max="13" width="6.7109375" customWidth="1"/>
    <col min="14" max="14" width="19.28515625" customWidth="1"/>
  </cols>
  <sheetData>
    <row r="1" spans="2:16" x14ac:dyDescent="0.25">
      <c r="B1">
        <v>1</v>
      </c>
      <c r="C1">
        <f>B1+1</f>
        <v>2</v>
      </c>
      <c r="D1">
        <f t="shared" ref="D1:N1" si="0">C1+1</f>
        <v>3</v>
      </c>
      <c r="E1" s="5">
        <f>D1+1</f>
        <v>4</v>
      </c>
      <c r="F1">
        <f>E1+1</f>
        <v>5</v>
      </c>
      <c r="G1" s="95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>N1+1</f>
        <v>14</v>
      </c>
    </row>
    <row r="2" spans="2:16" x14ac:dyDescent="0.25">
      <c r="B2" s="15"/>
      <c r="C2" s="15">
        <v>2</v>
      </c>
      <c r="D2" s="15">
        <f t="shared" ref="D2:O2" si="1">C2+1</f>
        <v>3</v>
      </c>
      <c r="E2" s="28">
        <f>D2+1</f>
        <v>4</v>
      </c>
      <c r="F2" s="15">
        <f>E2+1</f>
        <v>5</v>
      </c>
      <c r="G2" s="100">
        <f t="shared" si="1"/>
        <v>6</v>
      </c>
      <c r="H2" s="15">
        <f t="shared" si="1"/>
        <v>7</v>
      </c>
      <c r="I2" s="15">
        <f t="shared" si="1"/>
        <v>8</v>
      </c>
      <c r="J2" s="15">
        <f t="shared" si="1"/>
        <v>9</v>
      </c>
      <c r="K2" s="15">
        <f t="shared" si="1"/>
        <v>10</v>
      </c>
      <c r="L2" s="15">
        <f t="shared" si="1"/>
        <v>11</v>
      </c>
      <c r="M2" s="15">
        <f t="shared" si="1"/>
        <v>12</v>
      </c>
      <c r="N2" s="15">
        <f t="shared" si="1"/>
        <v>13</v>
      </c>
      <c r="O2" s="15">
        <f t="shared" si="1"/>
        <v>14</v>
      </c>
    </row>
    <row r="3" spans="2:16" ht="18" thickBot="1" x14ac:dyDescent="0.35">
      <c r="B3" s="99" t="s">
        <v>189</v>
      </c>
      <c r="C3" s="99"/>
      <c r="D3" s="15"/>
      <c r="E3" s="28"/>
      <c r="F3" s="15"/>
      <c r="G3" s="100"/>
      <c r="H3" s="15"/>
      <c r="I3" s="15"/>
      <c r="J3" s="15"/>
      <c r="K3" s="15"/>
      <c r="L3" s="15"/>
      <c r="M3" s="15"/>
      <c r="N3" s="15"/>
      <c r="O3" s="15"/>
    </row>
    <row r="4" spans="2:16" ht="30.75" customHeight="1" thickTop="1" thickBot="1" x14ac:dyDescent="0.3">
      <c r="B4" s="16" t="s">
        <v>193</v>
      </c>
      <c r="C4" s="17" t="s">
        <v>29</v>
      </c>
      <c r="D4" s="17" t="s">
        <v>30</v>
      </c>
      <c r="E4" s="17" t="s">
        <v>39</v>
      </c>
      <c r="F4" s="17" t="s">
        <v>29</v>
      </c>
      <c r="G4" s="101" t="s">
        <v>45</v>
      </c>
      <c r="H4" s="62" t="s">
        <v>31</v>
      </c>
      <c r="I4" s="17" t="s">
        <v>32</v>
      </c>
      <c r="J4" s="18" t="s">
        <v>33</v>
      </c>
      <c r="K4" s="17" t="s">
        <v>34</v>
      </c>
      <c r="L4" s="17" t="s">
        <v>35</v>
      </c>
      <c r="M4" s="17" t="s">
        <v>36</v>
      </c>
      <c r="N4" s="17" t="s">
        <v>37</v>
      </c>
    </row>
    <row r="5" spans="2:16" ht="15" customHeight="1" thickTop="1" x14ac:dyDescent="0.25">
      <c r="B5" s="19" t="s">
        <v>38</v>
      </c>
      <c r="C5" s="19" t="s">
        <v>39</v>
      </c>
      <c r="D5" s="19" t="s">
        <v>39</v>
      </c>
      <c r="E5" s="19" t="s">
        <v>76</v>
      </c>
      <c r="F5" s="19" t="s">
        <v>40</v>
      </c>
      <c r="G5" s="102" t="s">
        <v>40</v>
      </c>
      <c r="H5" s="63"/>
      <c r="I5" s="19" t="s">
        <v>41</v>
      </c>
      <c r="J5" s="20"/>
      <c r="K5" s="19" t="s">
        <v>42</v>
      </c>
      <c r="L5" s="19" t="s">
        <v>7</v>
      </c>
      <c r="M5" s="19" t="s">
        <v>7</v>
      </c>
      <c r="N5" s="19" t="s">
        <v>7</v>
      </c>
    </row>
    <row r="6" spans="2:16" x14ac:dyDescent="0.25">
      <c r="B6" s="22" t="str">
        <f>New_Raw!A7</f>
        <v>ELNCDorGHwTBw</v>
      </c>
      <c r="C6" s="22" t="str">
        <f>"Electricity/Secondary/"&amp;VLOOKUP($B6,New_Raw!$A$7:$M$55,New_Raw!C$2,FALSE)</f>
        <v>Electricity/Secondary/GHw</v>
      </c>
      <c r="D6" s="21" t="str">
        <f>"Electricity/Secondary/"&amp;VLOOKUP($B6,New_Raw!$A$7:$M$55,New_Raw!D$2,FALSE)</f>
        <v>Electricity/Secondary/TBw</v>
      </c>
      <c r="E6" s="45" t="s">
        <v>57</v>
      </c>
      <c r="F6" s="45">
        <v>1</v>
      </c>
      <c r="G6" s="103">
        <f>1-VLOOKUP($B6,New_Raw!$A$7:$M$55,New_Raw!I$2,FALSE)</f>
        <v>0.97499999999999998</v>
      </c>
      <c r="H6" s="64" t="str">
        <f>""</f>
        <v/>
      </c>
      <c r="I6" s="51">
        <f>1-VLOOKUP($B6,New_Raw!$A$7:$M$55,New_Raw!J$2,FALSE)</f>
        <v>0.99560000000000004</v>
      </c>
      <c r="J6" s="45">
        <v>50</v>
      </c>
      <c r="K6" s="51">
        <f>VLOOKUP($B6,New_Raw!$A$7:$M$55,New_Raw!L$2,FALSE)</f>
        <v>137.38340904488678</v>
      </c>
      <c r="L6" s="21" t="str">
        <f>""</f>
        <v/>
      </c>
      <c r="M6" s="21" t="str">
        <f>""</f>
        <v/>
      </c>
      <c r="N6" s="24" t="str">
        <f>VLOOKUP($B6,New_Raw!$A$7:$O$55,New_Raw!O$2,FALSE)&amp;" 0"</f>
        <v>0 0 0 655 0 0 0 0 0 0 0 0</v>
      </c>
      <c r="P6" s="2"/>
    </row>
    <row r="7" spans="2:16" x14ac:dyDescent="0.25">
      <c r="B7" s="36" t="str">
        <f>New_Raw!A8</f>
        <v>ELNCDorCIwGHw</v>
      </c>
      <c r="C7" s="37" t="str">
        <f>"Electricity/Secondary/"&amp;VLOOKUP($B7,New_Raw!$A$7:$M$55,New_Raw!C$2,FALSE)</f>
        <v>Electricity/Secondary/CIw</v>
      </c>
      <c r="D7" s="36" t="str">
        <f>"Electricity/Secondary/"&amp;VLOOKUP($B7,New_Raw!$A$7:$M$55,New_Raw!D$2,FALSE)</f>
        <v>Electricity/Secondary/GHw</v>
      </c>
      <c r="E7" s="49" t="s">
        <v>57</v>
      </c>
      <c r="F7" s="49">
        <v>1</v>
      </c>
      <c r="G7" s="104">
        <f>1-VLOOKUP($B7,New_Raw!$A$7:$M$55,New_Raw!I$2,FALSE)</f>
        <v>0.98</v>
      </c>
      <c r="H7" s="65" t="str">
        <f>""</f>
        <v/>
      </c>
      <c r="I7" s="53">
        <f>1-VLOOKUP($B7,New_Raw!$A$7:$M$55,New_Raw!J$2,FALSE)</f>
        <v>0.99560000000000004</v>
      </c>
      <c r="J7" s="49">
        <v>50</v>
      </c>
      <c r="K7" s="53">
        <f>VLOOKUP($B7,New_Raw!$A$7:$M$55,New_Raw!L$2,FALSE)</f>
        <v>137.38340904488678</v>
      </c>
      <c r="L7" s="36" t="str">
        <f>""</f>
        <v/>
      </c>
      <c r="M7" s="36" t="str">
        <f>""</f>
        <v/>
      </c>
      <c r="N7" s="50" t="str">
        <f>VLOOKUP($B7,New_Raw!$A$7:$O$55,New_Raw!O$2,FALSE)&amp;" 0"</f>
        <v>0 0 0 0 0 0 0 655 0 0 0 0</v>
      </c>
      <c r="O7" s="43"/>
    </row>
    <row r="8" spans="2:16" x14ac:dyDescent="0.25">
      <c r="I8" s="5"/>
      <c r="J8" s="5"/>
      <c r="K8" s="5"/>
    </row>
    <row r="9" spans="2:16" ht="30" customHeight="1" thickBot="1" x14ac:dyDescent="0.3">
      <c r="B9" s="16" t="str">
        <f>B4&amp;" (Reverse)"</f>
        <v>Dorsale 330 kV (Reverse)</v>
      </c>
      <c r="C9" s="17" t="s">
        <v>29</v>
      </c>
      <c r="D9" s="17" t="s">
        <v>30</v>
      </c>
      <c r="E9" s="17" t="s">
        <v>39</v>
      </c>
      <c r="F9" s="17" t="s">
        <v>29</v>
      </c>
      <c r="G9" s="101" t="s">
        <v>45</v>
      </c>
      <c r="H9" s="62" t="s">
        <v>31</v>
      </c>
      <c r="I9" s="17" t="s">
        <v>32</v>
      </c>
      <c r="J9" s="18" t="s">
        <v>33</v>
      </c>
      <c r="K9" s="17" t="s">
        <v>34</v>
      </c>
      <c r="L9" s="17" t="s">
        <v>35</v>
      </c>
      <c r="M9" s="17" t="s">
        <v>36</v>
      </c>
      <c r="N9" s="17" t="s">
        <v>37</v>
      </c>
    </row>
    <row r="10" spans="2:16" ht="15.75" thickTop="1" x14ac:dyDescent="0.25">
      <c r="B10" s="19" t="s">
        <v>38</v>
      </c>
      <c r="C10" s="19" t="s">
        <v>39</v>
      </c>
      <c r="D10" s="19" t="s">
        <v>39</v>
      </c>
      <c r="E10" s="19" t="s">
        <v>76</v>
      </c>
      <c r="F10" s="19" t="s">
        <v>40</v>
      </c>
      <c r="G10" s="102" t="s">
        <v>40</v>
      </c>
      <c r="H10" s="63"/>
      <c r="I10" s="19" t="s">
        <v>41</v>
      </c>
      <c r="J10" s="20"/>
      <c r="K10" s="19" t="s">
        <v>42</v>
      </c>
      <c r="L10" s="19" t="s">
        <v>7</v>
      </c>
      <c r="M10" s="19" t="s">
        <v>7</v>
      </c>
      <c r="N10" s="19" t="s">
        <v>7</v>
      </c>
    </row>
    <row r="11" spans="2:16" x14ac:dyDescent="0.25">
      <c r="B11" s="22" t="str">
        <f>New_Raw!B7</f>
        <v>ELNCDorTBwGHw</v>
      </c>
      <c r="C11" s="22" t="str">
        <f>"Electricity/Secondary/"&amp;VLOOKUP($B11,New_Raw!$B$7:$M$55,New_Raw!D$1,FALSE)</f>
        <v>Electricity/Secondary/TBw</v>
      </c>
      <c r="D11" s="21" t="str">
        <f>"Electricity/Secondary/"&amp;VLOOKUP($B11,New_Raw!$B$7:$M$55,New_Raw!C$1,FALSE)</f>
        <v>Electricity/Secondary/GHw</v>
      </c>
      <c r="E11" s="45" t="s">
        <v>58</v>
      </c>
      <c r="F11" s="45">
        <v>1</v>
      </c>
      <c r="G11" s="103">
        <f>1-VLOOKUP($B11,New_Raw!$B$7:$M$55,New_Raw!I$1,FALSE)</f>
        <v>0.97499999999999998</v>
      </c>
      <c r="H11" s="64" t="str">
        <f>""</f>
        <v/>
      </c>
      <c r="I11" s="51">
        <f>1-VLOOKUP($B11,New_Raw!$B$7:$M$55,New_Raw!J$1,FALSE)</f>
        <v>0.99560000000000004</v>
      </c>
      <c r="J11" s="45">
        <v>50</v>
      </c>
      <c r="K11" s="51"/>
      <c r="L11" s="21" t="str">
        <f>""</f>
        <v/>
      </c>
      <c r="M11" s="21" t="str">
        <f>""</f>
        <v/>
      </c>
      <c r="N11" s="24" t="str">
        <f>VLOOKUP($B11,New_Raw!$B$7:$O$55,New_Raw!O$1,FALSE)&amp;" 0"</f>
        <v>0 0 0 655 0 0 0 0 0 0 0 0</v>
      </c>
    </row>
    <row r="12" spans="2:16" x14ac:dyDescent="0.25">
      <c r="B12" s="36" t="str">
        <f>New_Raw!B8</f>
        <v>ELNCDorGHwCIw</v>
      </c>
      <c r="C12" s="37" t="str">
        <f>"Electricity/Secondary/"&amp;VLOOKUP($B12,New_Raw!$B$7:$M$55,New_Raw!D$1,FALSE)</f>
        <v>Electricity/Secondary/GHw</v>
      </c>
      <c r="D12" s="36" t="str">
        <f>"Electricity/Secondary/"&amp;VLOOKUP($B12,New_Raw!$B$7:$M$55,New_Raw!C$1,FALSE)</f>
        <v>Electricity/Secondary/CIw</v>
      </c>
      <c r="E12" s="49" t="s">
        <v>57</v>
      </c>
      <c r="F12" s="49">
        <v>1</v>
      </c>
      <c r="G12" s="104">
        <f>1-VLOOKUP($B12,New_Raw!$B$7:$M$55,New_Raw!I$1,FALSE)</f>
        <v>0.98</v>
      </c>
      <c r="H12" s="65" t="str">
        <f>""</f>
        <v/>
      </c>
      <c r="I12" s="53">
        <f>1-VLOOKUP($B12,New_Raw!$B$7:$M$55,New_Raw!J$1,FALSE)</f>
        <v>0.99560000000000004</v>
      </c>
      <c r="J12" s="49">
        <v>50</v>
      </c>
      <c r="K12" s="53"/>
      <c r="L12" s="36" t="str">
        <f>""</f>
        <v/>
      </c>
      <c r="M12" s="36" t="str">
        <f>""</f>
        <v/>
      </c>
      <c r="N12" s="50" t="str">
        <f>VLOOKUP($B12,New_Raw!$B$7:$O$55,New_Raw!O$1,FALSE)&amp;" 0"</f>
        <v>0 0 0 0 0 0 0 655 0 0 0 0</v>
      </c>
    </row>
    <row r="13" spans="2:16" x14ac:dyDescent="0.25">
      <c r="B13" s="2"/>
      <c r="C13" s="2"/>
      <c r="D13" s="2"/>
      <c r="E13" s="58"/>
      <c r="F13" s="58"/>
      <c r="G13" s="105"/>
      <c r="H13" s="59"/>
      <c r="I13" s="60"/>
      <c r="J13" s="58"/>
      <c r="K13" s="60"/>
      <c r="L13" s="2"/>
      <c r="M13" s="2"/>
      <c r="N13" s="59"/>
    </row>
    <row r="15" spans="2:16" ht="30.75" customHeight="1" thickBot="1" x14ac:dyDescent="0.3">
      <c r="B15" s="16" t="str">
        <f>New_Raw!C10</f>
        <v>CLSG</v>
      </c>
      <c r="C15" s="17" t="s">
        <v>29</v>
      </c>
      <c r="D15" s="17" t="s">
        <v>30</v>
      </c>
      <c r="E15" s="17" t="s">
        <v>39</v>
      </c>
      <c r="F15" s="17" t="s">
        <v>29</v>
      </c>
      <c r="G15" s="101" t="s">
        <v>45</v>
      </c>
      <c r="H15" s="62" t="s">
        <v>31</v>
      </c>
      <c r="I15" s="17" t="s">
        <v>32</v>
      </c>
      <c r="J15" s="18" t="s">
        <v>33</v>
      </c>
      <c r="K15" s="17" t="s">
        <v>34</v>
      </c>
      <c r="L15" s="17" t="s">
        <v>35</v>
      </c>
      <c r="M15" s="17" t="s">
        <v>36</v>
      </c>
      <c r="N15" s="17" t="s">
        <v>37</v>
      </c>
    </row>
    <row r="16" spans="2:16" ht="15" customHeight="1" thickTop="1" x14ac:dyDescent="0.25">
      <c r="B16" s="19" t="s">
        <v>38</v>
      </c>
      <c r="C16" s="19" t="s">
        <v>39</v>
      </c>
      <c r="D16" s="19" t="s">
        <v>39</v>
      </c>
      <c r="E16" s="19" t="s">
        <v>76</v>
      </c>
      <c r="F16" s="19" t="s">
        <v>40</v>
      </c>
      <c r="G16" s="102" t="s">
        <v>40</v>
      </c>
      <c r="H16" s="63"/>
      <c r="I16" s="19" t="s">
        <v>41</v>
      </c>
      <c r="J16" s="20"/>
      <c r="K16" s="19" t="s">
        <v>42</v>
      </c>
      <c r="L16" s="19" t="s">
        <v>7</v>
      </c>
      <c r="M16" s="19" t="s">
        <v>7</v>
      </c>
      <c r="N16" s="19" t="s">
        <v>7</v>
      </c>
    </row>
    <row r="17" spans="2:16" x14ac:dyDescent="0.25">
      <c r="B17" s="22" t="str">
        <f>New_Raw!A11</f>
        <v>ELNCCLSGCIwLIw</v>
      </c>
      <c r="C17" s="22" t="str">
        <f>"Electricity/Secondary/"&amp;VLOOKUP($B17,New_Raw!$A$7:$M$55,New_Raw!C$2,FALSE)</f>
        <v>Electricity/Secondary/CIw</v>
      </c>
      <c r="D17" s="21" t="str">
        <f>"Electricity/Secondary/"&amp;VLOOKUP($B17,New_Raw!$A$7:$M$55,New_Raw!D$2,FALSE)</f>
        <v>Electricity/Secondary/LIw</v>
      </c>
      <c r="E17" s="45" t="s">
        <v>57</v>
      </c>
      <c r="F17" s="45">
        <v>1</v>
      </c>
      <c r="G17" s="103">
        <f>1-VLOOKUP($B17,New_Raw!$A$7:$M$55,New_Raw!I$2,FALSE)</f>
        <v>0.97499999999999998</v>
      </c>
      <c r="H17" s="64" t="str">
        <f>""</f>
        <v/>
      </c>
      <c r="I17" s="51">
        <f>1-VLOOKUP($B17,New_Raw!$A$7:$M$55,New_Raw!J$2,FALSE)</f>
        <v>0.99739999999999995</v>
      </c>
      <c r="J17" s="45">
        <v>50</v>
      </c>
      <c r="K17" s="51">
        <f>VLOOKUP($B17,New_Raw!$A$7:$M$55,New_Raw!L$2,FALSE)</f>
        <v>176.9</v>
      </c>
      <c r="L17" s="21" t="str">
        <f>""</f>
        <v/>
      </c>
      <c r="M17" s="21" t="str">
        <f>""</f>
        <v/>
      </c>
      <c r="N17" s="24" t="str">
        <f>VLOOKUP($B17,New_Raw!$A$7:$O$55,New_Raw!O$2,FALSE)&amp;" 0"</f>
        <v>0 0 0 0 0 338 0 0 0 0 0 0</v>
      </c>
      <c r="P17" s="2"/>
    </row>
    <row r="18" spans="2:16" x14ac:dyDescent="0.25">
      <c r="B18" s="25" t="str">
        <f>New_Raw!A12</f>
        <v>ELNCCLSGLIwGUw</v>
      </c>
      <c r="C18" s="25" t="str">
        <f>"Electricity/Secondary/"&amp;VLOOKUP($B18,New_Raw!$A$7:$M$55,New_Raw!C$2,FALSE)</f>
        <v>Electricity/Secondary/LIw</v>
      </c>
      <c r="D18" s="43" t="str">
        <f>"Electricity/Secondary/"&amp;VLOOKUP($B18,New_Raw!$A$7:$M$55,New_Raw!D$2,FALSE)</f>
        <v>Electricity/Secondary/GUw</v>
      </c>
      <c r="E18" s="46" t="s">
        <v>57</v>
      </c>
      <c r="F18" s="46">
        <v>1</v>
      </c>
      <c r="G18" s="106">
        <f>1-VLOOKUP($B18,New_Raw!$A$7:$M$55,New_Raw!I$2,FALSE)</f>
        <v>0.97499999999999998</v>
      </c>
      <c r="H18" s="59" t="str">
        <f>""</f>
        <v/>
      </c>
      <c r="I18" s="52">
        <f>1-VLOOKUP($B18,New_Raw!$A$7:$M$55,New_Raw!J$2,FALSE)</f>
        <v>0.99739999999999995</v>
      </c>
      <c r="J18" s="46">
        <v>50</v>
      </c>
      <c r="K18" s="52">
        <f>VLOOKUP($B18,New_Raw!$A$7:$M$55,New_Raw!L$2,FALSE)</f>
        <v>176.9</v>
      </c>
      <c r="L18" s="43" t="str">
        <f>""</f>
        <v/>
      </c>
      <c r="M18" s="43" t="str">
        <f>""</f>
        <v/>
      </c>
      <c r="N18" s="47" t="str">
        <f>VLOOKUP($B18,New_Raw!$A$7:$O$55,New_Raw!O$2,FALSE)&amp;" 0"</f>
        <v>0 0 0 0 0 338 0 0 0 0 0 0</v>
      </c>
      <c r="P18" s="2"/>
    </row>
    <row r="19" spans="2:16" x14ac:dyDescent="0.25">
      <c r="B19" s="25" t="str">
        <f>New_Raw!A13</f>
        <v>ELNCCLSGLIwSIw</v>
      </c>
      <c r="C19" s="25" t="str">
        <f>"Electricity/Secondary/"&amp;VLOOKUP($B19,New_Raw!$A$7:$M$55,New_Raw!C$2,FALSE)</f>
        <v>Electricity/Secondary/LIw</v>
      </c>
      <c r="D19" s="43" t="str">
        <f>"Electricity/Secondary/"&amp;VLOOKUP($B19,New_Raw!$A$7:$M$55,New_Raw!D$2,FALSE)</f>
        <v>Electricity/Secondary/SIw</v>
      </c>
      <c r="E19" s="46" t="s">
        <v>57</v>
      </c>
      <c r="F19" s="46">
        <v>1</v>
      </c>
      <c r="G19" s="106">
        <f>1-VLOOKUP($B19,New_Raw!$A$7:$M$55,New_Raw!I$2,FALSE)</f>
        <v>0.93207279297035395</v>
      </c>
      <c r="H19" s="59" t="str">
        <f>""</f>
        <v/>
      </c>
      <c r="I19" s="52">
        <f>1-VLOOKUP($B19,New_Raw!$A$7:$M$55,New_Raw!J$2,FALSE)</f>
        <v>0.98939999999999995</v>
      </c>
      <c r="J19" s="46">
        <v>50</v>
      </c>
      <c r="K19" s="52">
        <f>VLOOKUP($B19,New_Raw!$A$7:$M$55,New_Raw!L$2,FALSE)</f>
        <v>815.6</v>
      </c>
      <c r="L19" s="43" t="str">
        <f>""</f>
        <v/>
      </c>
      <c r="M19" s="43" t="str">
        <f>""</f>
        <v/>
      </c>
      <c r="N19" s="47" t="str">
        <f>VLOOKUP($B19,New_Raw!$A$7:$O$55,New_Raw!O$2,FALSE)&amp;" 0"</f>
        <v>0 0 0 0 0 303 0 0 0 0 0 0</v>
      </c>
      <c r="P19" s="2"/>
    </row>
    <row r="20" spans="2:16" x14ac:dyDescent="0.25">
      <c r="B20" s="36" t="str">
        <f>New_Raw!A14</f>
        <v>ELNCCLSGSIwGUw</v>
      </c>
      <c r="C20" s="37" t="str">
        <f>"Electricity/Secondary/"&amp;VLOOKUP($B20,New_Raw!$A$7:$M$55,New_Raw!C$2,FALSE)</f>
        <v>Electricity/Secondary/SIw</v>
      </c>
      <c r="D20" s="36" t="str">
        <f>"Electricity/Secondary/"&amp;VLOOKUP($B20,New_Raw!$A$7:$M$55,New_Raw!D$2,FALSE)</f>
        <v>Electricity/Secondary/GUw</v>
      </c>
      <c r="E20" s="49" t="s">
        <v>58</v>
      </c>
      <c r="F20" s="49">
        <v>1</v>
      </c>
      <c r="G20" s="104">
        <f>1-VLOOKUP($B20,New_Raw!$A$7:$M$55,New_Raw!I$2,FALSE)</f>
        <v>0.97499999999999998</v>
      </c>
      <c r="H20" s="65" t="str">
        <f>""</f>
        <v/>
      </c>
      <c r="I20" s="53">
        <f>1-VLOOKUP($B20,New_Raw!$A$7:$M$55,New_Raw!J$2,FALSE)</f>
        <v>0.99650000000000005</v>
      </c>
      <c r="J20" s="49">
        <v>50</v>
      </c>
      <c r="K20" s="53">
        <f>VLOOKUP($B20,New_Raw!$A$7:$M$55,New_Raw!L$2,FALSE)</f>
        <v>242.9</v>
      </c>
      <c r="L20" s="36" t="str">
        <f>""</f>
        <v/>
      </c>
      <c r="M20" s="36" t="str">
        <f>""</f>
        <v/>
      </c>
      <c r="N20" s="50" t="str">
        <f>VLOOKUP($B20,New_Raw!$A$7:$O$55,New_Raw!O$2,FALSE)&amp;" 0"</f>
        <v>0 0 0 0 0 334 0 0 0 0 0 0</v>
      </c>
      <c r="O20" s="43"/>
    </row>
    <row r="21" spans="2:16" x14ac:dyDescent="0.25">
      <c r="I21" s="5"/>
      <c r="J21" s="5"/>
      <c r="K21" s="5"/>
    </row>
    <row r="22" spans="2:16" ht="26.25" thickBot="1" x14ac:dyDescent="0.3">
      <c r="B22" s="16" t="str">
        <f>B15&amp;" (Reverse)"</f>
        <v>CLSG (Reverse)</v>
      </c>
      <c r="C22" s="17" t="s">
        <v>29</v>
      </c>
      <c r="D22" s="17" t="s">
        <v>30</v>
      </c>
      <c r="E22" s="17" t="s">
        <v>39</v>
      </c>
      <c r="F22" s="17" t="s">
        <v>29</v>
      </c>
      <c r="G22" s="101" t="s">
        <v>45</v>
      </c>
      <c r="H22" s="62" t="s">
        <v>31</v>
      </c>
      <c r="I22" s="17" t="s">
        <v>32</v>
      </c>
      <c r="J22" s="18" t="s">
        <v>33</v>
      </c>
      <c r="K22" s="17" t="s">
        <v>34</v>
      </c>
      <c r="L22" s="17" t="s">
        <v>35</v>
      </c>
      <c r="M22" s="17" t="s">
        <v>36</v>
      </c>
      <c r="N22" s="17" t="s">
        <v>37</v>
      </c>
    </row>
    <row r="23" spans="2:16" ht="15.75" thickTop="1" x14ac:dyDescent="0.25">
      <c r="B23" s="19" t="s">
        <v>38</v>
      </c>
      <c r="C23" s="19" t="s">
        <v>39</v>
      </c>
      <c r="D23" s="19" t="s">
        <v>39</v>
      </c>
      <c r="E23" s="19" t="s">
        <v>76</v>
      </c>
      <c r="F23" s="19" t="s">
        <v>40</v>
      </c>
      <c r="G23" s="102" t="s">
        <v>40</v>
      </c>
      <c r="H23" s="63"/>
      <c r="I23" s="19" t="s">
        <v>41</v>
      </c>
      <c r="J23" s="20"/>
      <c r="K23" s="19" t="s">
        <v>42</v>
      </c>
      <c r="L23" s="19" t="s">
        <v>7</v>
      </c>
      <c r="M23" s="19" t="s">
        <v>7</v>
      </c>
      <c r="N23" s="19" t="s">
        <v>7</v>
      </c>
    </row>
    <row r="24" spans="2:16" x14ac:dyDescent="0.25">
      <c r="B24" s="22" t="str">
        <f>New_Raw!B11</f>
        <v>ELNCCLSGLIwCIw</v>
      </c>
      <c r="C24" s="22" t="str">
        <f>"Electricity/Secondary/"&amp;VLOOKUP($B24,New_Raw!$B$7:$M$55,New_Raw!D$1,FALSE)</f>
        <v>Electricity/Secondary/LIw</v>
      </c>
      <c r="D24" s="21" t="str">
        <f>"Electricity/Secondary/"&amp;VLOOKUP($B24,New_Raw!$B$7:$M$55,New_Raw!C$1,FALSE)</f>
        <v>Electricity/Secondary/CIw</v>
      </c>
      <c r="E24" s="45" t="s">
        <v>58</v>
      </c>
      <c r="F24" s="45">
        <v>1</v>
      </c>
      <c r="G24" s="103">
        <f>1-VLOOKUP($B24,New_Raw!$B$7:$M$55,New_Raw!I$1,FALSE)</f>
        <v>0.97499999999999998</v>
      </c>
      <c r="H24" s="64" t="str">
        <f>""</f>
        <v/>
      </c>
      <c r="I24" s="51">
        <f>1-VLOOKUP($B24,New_Raw!$B$7:$M$55,New_Raw!J$1,FALSE)</f>
        <v>0.99739999999999995</v>
      </c>
      <c r="J24" s="45">
        <v>50</v>
      </c>
      <c r="K24" s="51"/>
      <c r="L24" s="21" t="str">
        <f>""</f>
        <v/>
      </c>
      <c r="M24" s="21" t="str">
        <f>""</f>
        <v/>
      </c>
      <c r="N24" s="24" t="str">
        <f>VLOOKUP($B24,New_Raw!$B$7:$O$55,New_Raw!O$1,FALSE)&amp;" 0"</f>
        <v>0 0 0 0 0 338 0 0 0 0 0 0</v>
      </c>
    </row>
    <row r="25" spans="2:16" x14ac:dyDescent="0.25">
      <c r="B25" s="25" t="str">
        <f>New_Raw!B12</f>
        <v>ELNCCLSGGUwLIw</v>
      </c>
      <c r="C25" s="25" t="str">
        <f>"Electricity/Secondary/"&amp;VLOOKUP($B25,New_Raw!$B$7:$M$55,New_Raw!D$1,FALSE)</f>
        <v>Electricity/Secondary/GUw</v>
      </c>
      <c r="D25" s="43" t="str">
        <f>"Electricity/Secondary/"&amp;VLOOKUP($B25,New_Raw!$B$7:$M$55,New_Raw!C$1,FALSE)</f>
        <v>Electricity/Secondary/LIw</v>
      </c>
      <c r="E25" s="46" t="s">
        <v>58</v>
      </c>
      <c r="F25" s="46">
        <v>1</v>
      </c>
      <c r="G25" s="106">
        <f>1-VLOOKUP($B25,New_Raw!$B$7:$M$55,New_Raw!I$1,FALSE)</f>
        <v>0.97499999999999998</v>
      </c>
      <c r="H25" s="59" t="str">
        <f>""</f>
        <v/>
      </c>
      <c r="I25" s="52">
        <f>1-VLOOKUP($B25,New_Raw!$B$7:$M$55,New_Raw!J$1,FALSE)</f>
        <v>0.99739999999999995</v>
      </c>
      <c r="J25" s="46">
        <v>50</v>
      </c>
      <c r="K25" s="52"/>
      <c r="L25" s="43" t="str">
        <f>""</f>
        <v/>
      </c>
      <c r="M25" s="43" t="str">
        <f>""</f>
        <v/>
      </c>
      <c r="N25" s="47" t="str">
        <f>VLOOKUP($B25,New_Raw!$B$7:$O$55,New_Raw!O$1,FALSE)&amp;" 0"</f>
        <v>0 0 0 0 0 338 0 0 0 0 0 0</v>
      </c>
    </row>
    <row r="26" spans="2:16" x14ac:dyDescent="0.25">
      <c r="B26" s="25" t="str">
        <f>New_Raw!B13</f>
        <v>ELNCCLSGSIwLIw</v>
      </c>
      <c r="C26" s="25" t="str">
        <f>"Electricity/Secondary/"&amp;VLOOKUP($B26,New_Raw!$B$7:$M$55,New_Raw!D$1,FALSE)</f>
        <v>Electricity/Secondary/SIw</v>
      </c>
      <c r="D26" s="43" t="str">
        <f>"Electricity/Secondary/"&amp;VLOOKUP($B26,New_Raw!$B$7:$M$55,New_Raw!C$1,FALSE)</f>
        <v>Electricity/Secondary/LIw</v>
      </c>
      <c r="E26" s="46" t="s">
        <v>59</v>
      </c>
      <c r="F26" s="46">
        <v>1</v>
      </c>
      <c r="G26" s="106">
        <f>1-VLOOKUP($B26,New_Raw!$B$7:$M$55,New_Raw!I$1,FALSE)</f>
        <v>0.93207279297035395</v>
      </c>
      <c r="H26" s="59" t="str">
        <f>""</f>
        <v/>
      </c>
      <c r="I26" s="52">
        <f>1-VLOOKUP($B26,New_Raw!$B$7:$M$55,New_Raw!J$1,FALSE)</f>
        <v>0.98939999999999995</v>
      </c>
      <c r="J26" s="46">
        <v>50</v>
      </c>
      <c r="K26" s="52"/>
      <c r="L26" s="43" t="str">
        <f>""</f>
        <v/>
      </c>
      <c r="M26" s="43" t="str">
        <f>""</f>
        <v/>
      </c>
      <c r="N26" s="47" t="str">
        <f>VLOOKUP($B26,New_Raw!$B$7:$O$55,New_Raw!O$1,FALSE)&amp;" 0"</f>
        <v>0 0 0 0 0 303 0 0 0 0 0 0</v>
      </c>
    </row>
    <row r="27" spans="2:16" x14ac:dyDescent="0.25">
      <c r="B27" s="36" t="str">
        <f>New_Raw!B14</f>
        <v>ELNCCLSGGUwSIw</v>
      </c>
      <c r="C27" s="37" t="str">
        <f>"Electricity/Secondary/"&amp;VLOOKUP($B27,New_Raw!$B$7:$M$55,New_Raw!D$1,FALSE)</f>
        <v>Electricity/Secondary/GUw</v>
      </c>
      <c r="D27" s="36" t="str">
        <f>"Electricity/Secondary/"&amp;VLOOKUP($B27,New_Raw!$B$7:$M$55,New_Raw!C$1,FALSE)</f>
        <v>Electricity/Secondary/SIw</v>
      </c>
      <c r="E27" s="49" t="s">
        <v>58</v>
      </c>
      <c r="F27" s="49">
        <v>1</v>
      </c>
      <c r="G27" s="104">
        <f>1-VLOOKUP($B27,New_Raw!$B$7:$M$55,New_Raw!I$1,FALSE)</f>
        <v>0.97499999999999998</v>
      </c>
      <c r="H27" s="65" t="str">
        <f>""</f>
        <v/>
      </c>
      <c r="I27" s="53">
        <f>1-VLOOKUP($B27,New_Raw!$B$7:$M$55,New_Raw!J$1,FALSE)</f>
        <v>0.99650000000000005</v>
      </c>
      <c r="J27" s="49">
        <v>50</v>
      </c>
      <c r="K27" s="53"/>
      <c r="L27" s="36" t="str">
        <f>""</f>
        <v/>
      </c>
      <c r="M27" s="36" t="str">
        <f>""</f>
        <v/>
      </c>
      <c r="N27" s="50" t="str">
        <f>VLOOKUP($B27,New_Raw!$B$7:$O$55,New_Raw!O$1,FALSE)&amp;" 0"</f>
        <v>0 0 0 0 0 334 0 0 0 0 0 0</v>
      </c>
    </row>
    <row r="28" spans="2:16" x14ac:dyDescent="0.25">
      <c r="B28" s="2"/>
      <c r="C28" s="2"/>
      <c r="D28" s="2"/>
      <c r="E28" s="58"/>
      <c r="F28" s="58"/>
      <c r="G28" s="105"/>
      <c r="H28" s="59"/>
      <c r="I28" s="60"/>
      <c r="J28" s="58"/>
      <c r="K28" s="60"/>
      <c r="L28" s="2"/>
      <c r="M28" s="2"/>
      <c r="N28" s="59"/>
    </row>
    <row r="30" spans="2:16" ht="30.75" customHeight="1" thickBot="1" x14ac:dyDescent="0.3">
      <c r="B30" s="16" t="str">
        <f>New_Raw!C16</f>
        <v>OMVG</v>
      </c>
      <c r="C30" s="17" t="s">
        <v>29</v>
      </c>
      <c r="D30" s="17" t="s">
        <v>30</v>
      </c>
      <c r="E30" s="17" t="s">
        <v>39</v>
      </c>
      <c r="F30" s="17" t="s">
        <v>29</v>
      </c>
      <c r="G30" s="101" t="s">
        <v>45</v>
      </c>
      <c r="H30" s="62" t="s">
        <v>31</v>
      </c>
      <c r="I30" s="17" t="s">
        <v>32</v>
      </c>
      <c r="J30" s="18" t="s">
        <v>33</v>
      </c>
      <c r="K30" s="17" t="s">
        <v>34</v>
      </c>
      <c r="L30" s="17" t="s">
        <v>35</v>
      </c>
      <c r="M30" s="17" t="s">
        <v>36</v>
      </c>
      <c r="N30" s="17" t="s">
        <v>37</v>
      </c>
    </row>
    <row r="31" spans="2:16" ht="15" customHeight="1" thickTop="1" x14ac:dyDescent="0.25">
      <c r="B31" s="19" t="s">
        <v>38</v>
      </c>
      <c r="C31" s="19" t="s">
        <v>39</v>
      </c>
      <c r="D31" s="19" t="s">
        <v>39</v>
      </c>
      <c r="E31" s="19" t="s">
        <v>76</v>
      </c>
      <c r="F31" s="19" t="s">
        <v>40</v>
      </c>
      <c r="G31" s="102" t="s">
        <v>40</v>
      </c>
      <c r="H31" s="63"/>
      <c r="I31" s="19" t="s">
        <v>41</v>
      </c>
      <c r="J31" s="20"/>
      <c r="K31" s="19" t="s">
        <v>42</v>
      </c>
      <c r="L31" s="19" t="s">
        <v>7</v>
      </c>
      <c r="M31" s="19" t="s">
        <v>7</v>
      </c>
      <c r="N31" s="19" t="s">
        <v>7</v>
      </c>
    </row>
    <row r="32" spans="2:16" x14ac:dyDescent="0.25">
      <c r="B32" s="22" t="str">
        <f>New_Raw!A17</f>
        <v>ELNCOMVGSEwGUw</v>
      </c>
      <c r="C32" s="22" t="str">
        <f>"Electricity/Secondary/"&amp;VLOOKUP($B32,New_Raw!$A$7:$M$55,New_Raw!C$2,FALSE)</f>
        <v>Electricity/Secondary/SEw</v>
      </c>
      <c r="D32" s="21" t="str">
        <f>"Electricity/Secondary/"&amp;VLOOKUP($B32,New_Raw!$A$7:$M$55,New_Raw!D$2,FALSE)</f>
        <v>Electricity/Secondary/GUw</v>
      </c>
      <c r="E32" s="45" t="s">
        <v>59</v>
      </c>
      <c r="F32" s="45">
        <v>1</v>
      </c>
      <c r="G32" s="103">
        <f>1-VLOOKUP($B32,New_Raw!$A$7:$M$55,New_Raw!I$2,FALSE)</f>
        <v>0.90630730064876408</v>
      </c>
      <c r="H32" s="64" t="str">
        <f>""</f>
        <v/>
      </c>
      <c r="I32" s="51">
        <f>1-VLOOKUP($B32,New_Raw!$A$7:$M$55,New_Raw!J$2,FALSE)</f>
        <v>0.98540000000000005</v>
      </c>
      <c r="J32" s="45">
        <v>50</v>
      </c>
      <c r="K32" s="51">
        <f>VLOOKUP($B32,New_Raw!$A$7:$M$55,New_Raw!L$2,FALSE)</f>
        <v>1012.3</v>
      </c>
      <c r="L32" s="21" t="str">
        <f>""</f>
        <v/>
      </c>
      <c r="M32" s="21" t="str">
        <f>""</f>
        <v/>
      </c>
      <c r="N32" s="24" t="str">
        <f>VLOOKUP($B32,New_Raw!$A$7:$O$55,New_Raw!O$2,FALSE)&amp;" 0"</f>
        <v>0 0 0 0 0 0 0 286 0 0 0 0</v>
      </c>
      <c r="P32" s="2"/>
    </row>
    <row r="33" spans="2:16" x14ac:dyDescent="0.25">
      <c r="B33" s="25" t="str">
        <f>New_Raw!A18</f>
        <v>ELNCOMVGSEwGAw</v>
      </c>
      <c r="C33" s="25" t="str">
        <f>"Electricity/Secondary/"&amp;VLOOKUP($B33,New_Raw!$A$7:$M$55,New_Raw!C$2,FALSE)</f>
        <v>Electricity/Secondary/SEw</v>
      </c>
      <c r="D33" s="43" t="str">
        <f>"Electricity/Secondary/"&amp;VLOOKUP($B33,New_Raw!$A$7:$M$55,New_Raw!D$2,FALSE)</f>
        <v>Electricity/Secondary/GAw</v>
      </c>
      <c r="E33" s="46" t="s">
        <v>57</v>
      </c>
      <c r="F33" s="46">
        <v>1</v>
      </c>
      <c r="G33" s="106">
        <f>1-VLOOKUP($B33,New_Raw!$A$7:$M$55,New_Raw!I$2,FALSE)</f>
        <v>0.97499999999999998</v>
      </c>
      <c r="H33" s="59" t="str">
        <f>""</f>
        <v/>
      </c>
      <c r="I33" s="52">
        <f>1-VLOOKUP($B33,New_Raw!$A$7:$M$55,New_Raw!J$2,FALSE)</f>
        <v>0.99819999999999998</v>
      </c>
      <c r="J33" s="46">
        <v>50</v>
      </c>
      <c r="K33" s="52">
        <f>VLOOKUP($B33,New_Raw!$A$7:$M$55,New_Raw!L$2,FALSE)</f>
        <v>106.3</v>
      </c>
      <c r="L33" s="43" t="str">
        <f>""</f>
        <v/>
      </c>
      <c r="M33" s="43" t="str">
        <f>""</f>
        <v/>
      </c>
      <c r="N33" s="47" t="str">
        <f>VLOOKUP($B33,New_Raw!$A$7:$O$55,New_Raw!O$2,FALSE)&amp;" 0"</f>
        <v>0 0 0 0 0 0 0 341 0 0 0 0</v>
      </c>
      <c r="P33" s="2"/>
    </row>
    <row r="34" spans="2:16" x14ac:dyDescent="0.25">
      <c r="B34" s="25" t="str">
        <f>New_Raw!A19</f>
        <v>ELNCOMVGGAwGBw</v>
      </c>
      <c r="C34" s="25" t="str">
        <f>"Electricity/Secondary/"&amp;VLOOKUP($B34,New_Raw!$A$7:$M$55,New_Raw!C$2,FALSE)</f>
        <v>Electricity/Secondary/GAw</v>
      </c>
      <c r="D34" s="43" t="str">
        <f>"Electricity/Secondary/"&amp;VLOOKUP($B34,New_Raw!$A$7:$M$55,New_Raw!D$2,FALSE)</f>
        <v>Electricity/Secondary/GBw</v>
      </c>
      <c r="E34" s="46" t="s">
        <v>57</v>
      </c>
      <c r="F34" s="46">
        <v>1</v>
      </c>
      <c r="G34" s="106">
        <f>1-VLOOKUP($B34,New_Raw!$A$7:$M$55,New_Raw!I$2,FALSE)</f>
        <v>0.9707210314527388</v>
      </c>
      <c r="H34" s="59" t="str">
        <f>""</f>
        <v/>
      </c>
      <c r="I34" s="52">
        <f>1-VLOOKUP($B34,New_Raw!$A$7:$M$55,New_Raw!J$2,FALSE)</f>
        <v>0.99539999999999995</v>
      </c>
      <c r="J34" s="46">
        <v>50</v>
      </c>
      <c r="K34" s="52">
        <f>VLOOKUP($B34,New_Raw!$A$7:$M$55,New_Raw!L$2,FALSE)</f>
        <v>275.3</v>
      </c>
      <c r="L34" s="43" t="str">
        <f>""</f>
        <v/>
      </c>
      <c r="M34" s="43" t="str">
        <f>""</f>
        <v/>
      </c>
      <c r="N34" s="47" t="str">
        <f>VLOOKUP($B34,New_Raw!$A$7:$O$55,New_Raw!O$2,FALSE)&amp;" 0"</f>
        <v>0 0 0 0 0 0 0 329 0 0 0 0</v>
      </c>
      <c r="P34" s="2"/>
    </row>
    <row r="35" spans="2:16" x14ac:dyDescent="0.25">
      <c r="B35" s="36" t="str">
        <f>New_Raw!A20</f>
        <v>ELNCOMVGGBwGUw</v>
      </c>
      <c r="C35" s="37" t="str">
        <f>"Electricity/Secondary/"&amp;VLOOKUP($B35,New_Raw!$A$7:$M$55,New_Raw!C$2,FALSE)</f>
        <v>Electricity/Secondary/GBw</v>
      </c>
      <c r="D35" s="36" t="str">
        <f>"Electricity/Secondary/"&amp;VLOOKUP($B35,New_Raw!$A$7:$M$55,New_Raw!D$2,FALSE)</f>
        <v>Electricity/Secondary/GUw</v>
      </c>
      <c r="E35" s="49" t="s">
        <v>60</v>
      </c>
      <c r="F35" s="49">
        <v>1</v>
      </c>
      <c r="G35" s="104">
        <f>1-VLOOKUP($B35,New_Raw!$A$7:$M$55,New_Raw!I$2,FALSE)</f>
        <v>0.94144206290547749</v>
      </c>
      <c r="H35" s="65" t="str">
        <f>""</f>
        <v/>
      </c>
      <c r="I35" s="53">
        <f>1-VLOOKUP($B35,New_Raw!$A$7:$M$55,New_Raw!J$2,FALSE)</f>
        <v>0.9909</v>
      </c>
      <c r="J35" s="49">
        <v>50</v>
      </c>
      <c r="K35" s="53">
        <f>VLOOKUP($B35,New_Raw!$A$7:$M$55,New_Raw!L$2,FALSE)</f>
        <v>585</v>
      </c>
      <c r="L35" s="36" t="str">
        <f>""</f>
        <v/>
      </c>
      <c r="M35" s="36" t="str">
        <f>""</f>
        <v/>
      </c>
      <c r="N35" s="50" t="str">
        <f>VLOOKUP($B35,New_Raw!$A$7:$O$55,New_Raw!O$2,FALSE)&amp;" 0"</f>
        <v>0 0 0 0 0 0 0 310 0 0 0 0</v>
      </c>
      <c r="O35" s="43"/>
    </row>
    <row r="36" spans="2:16" x14ac:dyDescent="0.25">
      <c r="I36" s="5"/>
      <c r="J36" s="5"/>
      <c r="K36" s="5"/>
    </row>
    <row r="37" spans="2:16" ht="26.25" thickBot="1" x14ac:dyDescent="0.3">
      <c r="B37" s="16" t="str">
        <f>B30&amp;" (Reverse)"</f>
        <v>OMVG (Reverse)</v>
      </c>
      <c r="C37" s="17" t="s">
        <v>29</v>
      </c>
      <c r="D37" s="17" t="s">
        <v>30</v>
      </c>
      <c r="E37" s="17" t="s">
        <v>39</v>
      </c>
      <c r="F37" s="17" t="s">
        <v>29</v>
      </c>
      <c r="G37" s="101" t="s">
        <v>45</v>
      </c>
      <c r="H37" s="62" t="s">
        <v>31</v>
      </c>
      <c r="I37" s="17" t="s">
        <v>32</v>
      </c>
      <c r="J37" s="18" t="s">
        <v>33</v>
      </c>
      <c r="K37" s="17" t="s">
        <v>34</v>
      </c>
      <c r="L37" s="17" t="s">
        <v>35</v>
      </c>
      <c r="M37" s="17" t="s">
        <v>36</v>
      </c>
      <c r="N37" s="17" t="s">
        <v>37</v>
      </c>
    </row>
    <row r="38" spans="2:16" ht="15.75" thickTop="1" x14ac:dyDescent="0.25">
      <c r="B38" s="19" t="s">
        <v>38</v>
      </c>
      <c r="C38" s="19" t="s">
        <v>39</v>
      </c>
      <c r="D38" s="19" t="s">
        <v>39</v>
      </c>
      <c r="E38" s="19" t="s">
        <v>76</v>
      </c>
      <c r="F38" s="19" t="s">
        <v>40</v>
      </c>
      <c r="G38" s="102" t="s">
        <v>40</v>
      </c>
      <c r="H38" s="63"/>
      <c r="I38" s="19" t="s">
        <v>41</v>
      </c>
      <c r="J38" s="20"/>
      <c r="K38" s="19" t="s">
        <v>42</v>
      </c>
      <c r="L38" s="19" t="s">
        <v>7</v>
      </c>
      <c r="M38" s="19" t="s">
        <v>7</v>
      </c>
      <c r="N38" s="19" t="s">
        <v>7</v>
      </c>
    </row>
    <row r="39" spans="2:16" x14ac:dyDescent="0.25">
      <c r="B39" s="22" t="str">
        <f>New_Raw!B17</f>
        <v>ELNCOMVGGUwSEw</v>
      </c>
      <c r="C39" s="22" t="str">
        <f>"Electricity/Secondary/"&amp;VLOOKUP($B39,New_Raw!$B$7:$M$55,New_Raw!D$1,FALSE)</f>
        <v>Electricity/Secondary/GUw</v>
      </c>
      <c r="D39" s="21" t="str">
        <f>"Electricity/Secondary/"&amp;VLOOKUP($B39,New_Raw!$B$7:$M$55,New_Raw!C$1,FALSE)</f>
        <v>Electricity/Secondary/SEw</v>
      </c>
      <c r="E39" s="45" t="s">
        <v>57</v>
      </c>
      <c r="F39" s="45">
        <v>1</v>
      </c>
      <c r="G39" s="103">
        <f>1-VLOOKUP($B39,New_Raw!$B$7:$M$55,New_Raw!I$1,FALSE)</f>
        <v>0.90630730064876408</v>
      </c>
      <c r="H39" s="64" t="str">
        <f>""</f>
        <v/>
      </c>
      <c r="I39" s="51">
        <f>1-VLOOKUP($B39,New_Raw!$B$7:$M$55,New_Raw!J$1,FALSE)</f>
        <v>0.98540000000000005</v>
      </c>
      <c r="J39" s="45">
        <v>50</v>
      </c>
      <c r="K39" s="51"/>
      <c r="L39" s="21" t="str">
        <f>""</f>
        <v/>
      </c>
      <c r="M39" s="21" t="str">
        <f>""</f>
        <v/>
      </c>
      <c r="N39" s="24" t="str">
        <f>VLOOKUP($B39,New_Raw!$B$7:$O$55,New_Raw!O$1,FALSE)&amp;" 0"</f>
        <v>0 0 0 0 0 0 0 286 0 0 0 0</v>
      </c>
    </row>
    <row r="40" spans="2:16" x14ac:dyDescent="0.25">
      <c r="B40" s="25" t="str">
        <f>New_Raw!B18</f>
        <v>ELNCOMVGGAwSEw</v>
      </c>
      <c r="C40" s="25" t="str">
        <f>"Electricity/Secondary/"&amp;VLOOKUP($B40,New_Raw!$B$7:$M$55,New_Raw!D$1,FALSE)</f>
        <v>Electricity/Secondary/GAw</v>
      </c>
      <c r="D40" s="43" t="str">
        <f>"Electricity/Secondary/"&amp;VLOOKUP($B40,New_Raw!$B$7:$M$55,New_Raw!C$1,FALSE)</f>
        <v>Electricity/Secondary/SEw</v>
      </c>
      <c r="E40" s="46" t="s">
        <v>58</v>
      </c>
      <c r="F40" s="46">
        <v>1</v>
      </c>
      <c r="G40" s="106">
        <f>1-VLOOKUP($B40,New_Raw!$B$7:$M$55,New_Raw!I$1,FALSE)</f>
        <v>0.97499999999999998</v>
      </c>
      <c r="H40" s="59" t="str">
        <f>""</f>
        <v/>
      </c>
      <c r="I40" s="52">
        <f>1-VLOOKUP($B40,New_Raw!$B$7:$M$55,New_Raw!J$1,FALSE)</f>
        <v>0.99819999999999998</v>
      </c>
      <c r="J40" s="46">
        <v>50</v>
      </c>
      <c r="K40" s="52"/>
      <c r="L40" s="43" t="str">
        <f>""</f>
        <v/>
      </c>
      <c r="M40" s="43" t="str">
        <f>""</f>
        <v/>
      </c>
      <c r="N40" s="47" t="str">
        <f>VLOOKUP($B40,New_Raw!$B$7:$O$55,New_Raw!O$1,FALSE)&amp;" 0"</f>
        <v>0 0 0 0 0 0 0 341 0 0 0 0</v>
      </c>
    </row>
    <row r="41" spans="2:16" x14ac:dyDescent="0.25">
      <c r="B41" s="25" t="str">
        <f>New_Raw!B19</f>
        <v>ELNCOMVGGBwGAw</v>
      </c>
      <c r="C41" s="25" t="str">
        <f>"Electricity/Secondary/"&amp;VLOOKUP($B41,New_Raw!$B$7:$M$55,New_Raw!D$1,FALSE)</f>
        <v>Electricity/Secondary/GBw</v>
      </c>
      <c r="D41" s="43" t="str">
        <f>"Electricity/Secondary/"&amp;VLOOKUP($B41,New_Raw!$B$7:$M$55,New_Raw!C$1,FALSE)</f>
        <v>Electricity/Secondary/GAw</v>
      </c>
      <c r="E41" s="46" t="s">
        <v>58</v>
      </c>
      <c r="F41" s="46">
        <v>1</v>
      </c>
      <c r="G41" s="106">
        <f>1-VLOOKUP($B41,New_Raw!$B$7:$M$55,New_Raw!I$1,FALSE)</f>
        <v>0.9707210314527388</v>
      </c>
      <c r="H41" s="59" t="str">
        <f>""</f>
        <v/>
      </c>
      <c r="I41" s="52">
        <f>1-VLOOKUP($B41,New_Raw!$B$7:$M$55,New_Raw!J$1,FALSE)</f>
        <v>0.99539999999999995</v>
      </c>
      <c r="J41" s="46">
        <v>50</v>
      </c>
      <c r="K41" s="52"/>
      <c r="L41" s="43" t="str">
        <f>""</f>
        <v/>
      </c>
      <c r="M41" s="43" t="str">
        <f>""</f>
        <v/>
      </c>
      <c r="N41" s="47" t="str">
        <f>VLOOKUP($B41,New_Raw!$B$7:$O$55,New_Raw!O$1,FALSE)&amp;" 0"</f>
        <v>0 0 0 0 0 0 0 329 0 0 0 0</v>
      </c>
    </row>
    <row r="42" spans="2:16" x14ac:dyDescent="0.25">
      <c r="B42" s="36" t="str">
        <f>New_Raw!B20</f>
        <v>ELNCOMVGGUwGBw</v>
      </c>
      <c r="C42" s="37" t="str">
        <f>"Electricity/Secondary/"&amp;VLOOKUP($B42,New_Raw!$B$7:$M$55,New_Raw!D$1,FALSE)</f>
        <v>Electricity/Secondary/GUw</v>
      </c>
      <c r="D42" s="36" t="str">
        <f>"Electricity/Secondary/"&amp;VLOOKUP($B42,New_Raw!$B$7:$M$55,New_Raw!C$1,FALSE)</f>
        <v>Electricity/Secondary/GBw</v>
      </c>
      <c r="E42" s="49" t="s">
        <v>58</v>
      </c>
      <c r="F42" s="49">
        <v>1</v>
      </c>
      <c r="G42" s="104">
        <f>1-VLOOKUP($B42,New_Raw!$B$7:$M$55,New_Raw!I$1,FALSE)</f>
        <v>0.94144206290547749</v>
      </c>
      <c r="H42" s="65" t="str">
        <f>""</f>
        <v/>
      </c>
      <c r="I42" s="53">
        <f>1-VLOOKUP($B42,New_Raw!$B$7:$M$55,New_Raw!J$1,FALSE)</f>
        <v>0.9909</v>
      </c>
      <c r="J42" s="49">
        <v>50</v>
      </c>
      <c r="K42" s="53"/>
      <c r="L42" s="36" t="str">
        <f>""</f>
        <v/>
      </c>
      <c r="M42" s="36" t="str">
        <f>""</f>
        <v/>
      </c>
      <c r="N42" s="50" t="str">
        <f>VLOOKUP($B42,New_Raw!$B$7:$O$55,New_Raw!O$1,FALSE)&amp;" 0"</f>
        <v>0 0 0 0 0 0 0 310 0 0 0 0</v>
      </c>
    </row>
    <row r="43" spans="2:16" x14ac:dyDescent="0.25">
      <c r="B43" s="2"/>
      <c r="C43" s="2"/>
      <c r="D43" s="2"/>
      <c r="E43" s="58"/>
      <c r="F43" s="58"/>
      <c r="G43" s="105"/>
      <c r="H43" s="59"/>
      <c r="I43" s="60"/>
      <c r="J43" s="58"/>
      <c r="K43" s="60"/>
      <c r="L43" s="2"/>
      <c r="M43" s="2"/>
      <c r="N43" s="59"/>
    </row>
    <row r="44" spans="2:16" ht="26.25" thickBot="1" x14ac:dyDescent="0.3">
      <c r="B44" s="16" t="str">
        <f>New_Raw!C22</f>
        <v>Hub Intrazonal</v>
      </c>
      <c r="C44" s="17" t="s">
        <v>29</v>
      </c>
      <c r="D44" s="17" t="s">
        <v>30</v>
      </c>
      <c r="E44" s="17" t="s">
        <v>39</v>
      </c>
      <c r="F44" s="17" t="s">
        <v>29</v>
      </c>
      <c r="G44" s="101" t="s">
        <v>45</v>
      </c>
      <c r="H44" s="62" t="s">
        <v>31</v>
      </c>
      <c r="I44" s="17" t="s">
        <v>32</v>
      </c>
      <c r="J44" s="18" t="s">
        <v>33</v>
      </c>
      <c r="K44" s="17" t="s">
        <v>34</v>
      </c>
      <c r="L44" s="17" t="s">
        <v>35</v>
      </c>
      <c r="M44" s="17" t="s">
        <v>36</v>
      </c>
      <c r="N44" s="17" t="s">
        <v>37</v>
      </c>
    </row>
    <row r="45" spans="2:16" ht="15.75" thickTop="1" x14ac:dyDescent="0.25">
      <c r="B45" s="19" t="s">
        <v>38</v>
      </c>
      <c r="C45" s="19" t="s">
        <v>39</v>
      </c>
      <c r="D45" s="19" t="s">
        <v>39</v>
      </c>
      <c r="E45" s="19" t="s">
        <v>76</v>
      </c>
      <c r="F45" s="19" t="s">
        <v>40</v>
      </c>
      <c r="G45" s="102" t="s">
        <v>40</v>
      </c>
      <c r="H45" s="63"/>
      <c r="I45" s="19" t="s">
        <v>41</v>
      </c>
      <c r="J45" s="20"/>
      <c r="K45" s="19" t="s">
        <v>42</v>
      </c>
      <c r="L45" s="19" t="s">
        <v>7</v>
      </c>
      <c r="M45" s="19" t="s">
        <v>7</v>
      </c>
      <c r="N45" s="19" t="s">
        <v>7</v>
      </c>
    </row>
    <row r="46" spans="2:16" x14ac:dyDescent="0.25">
      <c r="B46" s="36" t="str">
        <f>New_Raw!A23</f>
        <v>ELNChubGHwBUw</v>
      </c>
      <c r="C46" s="37" t="str">
        <f>"Electricity/Secondary/"&amp;VLOOKUP($B46,New_Raw!$A$7:$M$55,New_Raw!C$2,FALSE)</f>
        <v>Electricity/Secondary/GHw</v>
      </c>
      <c r="D46" s="36" t="str">
        <f>"Electricity/Secondary/"&amp;VLOOKUP($B46,New_Raw!$A$7:$M$55,New_Raw!D$2,FALSE)</f>
        <v>Electricity/Secondary/BUw</v>
      </c>
      <c r="E46" s="49" t="s">
        <v>58</v>
      </c>
      <c r="F46" s="49">
        <v>1</v>
      </c>
      <c r="G46" s="104">
        <f>1-VLOOKUP($B46,New_Raw!$A$7:$M$55,New_Raw!I$2,FALSE)</f>
        <v>0.97499999999999998</v>
      </c>
      <c r="H46" s="67">
        <f>VLOOKUP($B46,New_Raw!$A$7:$M$55,New_Raw!M$2,FALSE)</f>
        <v>2013</v>
      </c>
      <c r="I46" s="53">
        <f>1-VLOOKUP($B46,New_Raw!$A$7:$M$55,New_Raw!J$2,FALSE)</f>
        <v>0.99619999999999997</v>
      </c>
      <c r="J46" s="49">
        <v>50</v>
      </c>
      <c r="K46" s="76">
        <f>VLOOKUP($B46,New_Raw!$A$7:$M$55,New_Raw!L$2,FALSE)</f>
        <v>201.7</v>
      </c>
      <c r="L46" s="49"/>
      <c r="M46" s="36" t="str">
        <f>""</f>
        <v/>
      </c>
      <c r="N46" s="50" t="str">
        <f>VLOOKUP($B46,New_Raw!$A$7:$O$55,New_Raw!O$2,FALSE)&amp;" 0"</f>
        <v>0 0 0 332 0 332 0 0 0 0 0 0</v>
      </c>
    </row>
    <row r="47" spans="2:16" x14ac:dyDescent="0.25">
      <c r="B47" s="36" t="str">
        <f>New_Raw!A24</f>
        <v>ELNChubBUwMAw</v>
      </c>
      <c r="C47" s="37" t="str">
        <f>"Electricity/Secondary/"&amp;VLOOKUP($B47,New_Raw!$A$7:$M$55,New_Raw!C$2,FALSE)</f>
        <v>Electricity/Secondary/BUw</v>
      </c>
      <c r="D47" s="36" t="str">
        <f>"Electricity/Secondary/"&amp;VLOOKUP($B47,New_Raw!$A$7:$M$55,New_Raw!D$2,FALSE)</f>
        <v>Electricity/Secondary/MAw</v>
      </c>
      <c r="E47" s="49" t="s">
        <v>58</v>
      </c>
      <c r="F47" s="49">
        <v>1</v>
      </c>
      <c r="G47" s="104">
        <f>1-VLOOKUP($B47,New_Raw!$A$7:$M$55,New_Raw!I$2,FALSE)</f>
        <v>0.93558626919602528</v>
      </c>
      <c r="H47" s="67">
        <f>VLOOKUP($B47,New_Raw!$A$7:$M$55,New_Raw!M$2,FALSE)</f>
        <v>2015</v>
      </c>
      <c r="I47" s="53">
        <f>1-VLOOKUP($B47,New_Raw!$A$7:$M$55,New_Raw!J$2,FALSE)</f>
        <v>0.99</v>
      </c>
      <c r="J47" s="49">
        <v>50</v>
      </c>
      <c r="K47" s="76">
        <f>VLOOKUP($B47,New_Raw!$A$7:$M$55,New_Raw!L$2,FALSE)</f>
        <v>573.9</v>
      </c>
      <c r="L47" s="49"/>
      <c r="M47" s="36" t="str">
        <f>""</f>
        <v/>
      </c>
      <c r="N47" s="50" t="str">
        <f>VLOOKUP($B47,New_Raw!$A$7:$O$55,New_Raw!O$2,FALSE)&amp;" 0"</f>
        <v>0 0 0 0 0 306 0 0 0 0 0 0</v>
      </c>
    </row>
    <row r="48" spans="2:16" x14ac:dyDescent="0.25">
      <c r="B48" s="36" t="str">
        <f>New_Raw!A25</f>
        <v>ELNChubMAwCIw</v>
      </c>
      <c r="C48" s="37" t="str">
        <f>"Electricity/Secondary/"&amp;VLOOKUP($B48,New_Raw!$A$7:$M$55,New_Raw!C$2,FALSE)</f>
        <v>Electricity/Secondary/MAw</v>
      </c>
      <c r="D48" s="36" t="str">
        <f>"Electricity/Secondary/"&amp;VLOOKUP($B48,New_Raw!$A$7:$M$55,New_Raw!D$2,FALSE)</f>
        <v>Electricity/Secondary/CIw</v>
      </c>
      <c r="E48" s="49" t="s">
        <v>59</v>
      </c>
      <c r="F48" s="49">
        <v>1</v>
      </c>
      <c r="G48" s="104">
        <f>1-VLOOKUP($B48,New_Raw!$A$7:$M$55,New_Raw!I$2,FALSE)</f>
        <v>0.95666712655005337</v>
      </c>
      <c r="H48" s="67">
        <f>VLOOKUP($B48,New_Raw!$A$7:$M$55,New_Raw!M$2,FALSE)</f>
        <v>2012</v>
      </c>
      <c r="I48" s="53">
        <f>1-VLOOKUP($B48,New_Raw!$A$7:$M$55,New_Raw!J$2,FALSE)</f>
        <v>0.99319999999999997</v>
      </c>
      <c r="J48" s="49">
        <v>50</v>
      </c>
      <c r="K48" s="76">
        <f>VLOOKUP($B48,New_Raw!$A$7:$M$55,New_Raw!L$2,FALSE)</f>
        <v>428.3</v>
      </c>
      <c r="L48" s="49"/>
      <c r="M48" s="36" t="str">
        <f>""</f>
        <v/>
      </c>
      <c r="N48" s="50" t="str">
        <f>VLOOKUP($B48,New_Raw!$A$7:$O$55,New_Raw!O$2,FALSE)&amp;" 0"</f>
        <v>0 0 320 0 0 0 0 0 0 0 0 0</v>
      </c>
    </row>
    <row r="50" spans="2:15" ht="26.25" thickBot="1" x14ac:dyDescent="0.3">
      <c r="B50" s="16" t="str">
        <f>B44&amp;" (Reverse)"</f>
        <v>Hub Intrazonal (Reverse)</v>
      </c>
      <c r="C50" s="17" t="s">
        <v>29</v>
      </c>
      <c r="D50" s="17" t="s">
        <v>30</v>
      </c>
      <c r="E50" s="17" t="s">
        <v>39</v>
      </c>
      <c r="F50" s="17" t="s">
        <v>29</v>
      </c>
      <c r="G50" s="101" t="s">
        <v>45</v>
      </c>
      <c r="H50" s="62" t="s">
        <v>31</v>
      </c>
      <c r="I50" s="17" t="s">
        <v>32</v>
      </c>
      <c r="J50" s="18" t="s">
        <v>33</v>
      </c>
      <c r="K50" s="17" t="s">
        <v>34</v>
      </c>
      <c r="L50" s="17" t="s">
        <v>35</v>
      </c>
      <c r="M50" s="17" t="s">
        <v>36</v>
      </c>
      <c r="N50" s="17" t="s">
        <v>37</v>
      </c>
    </row>
    <row r="51" spans="2:15" ht="15.75" thickTop="1" x14ac:dyDescent="0.25">
      <c r="B51" s="19" t="s">
        <v>38</v>
      </c>
      <c r="C51" s="19" t="s">
        <v>39</v>
      </c>
      <c r="D51" s="19" t="s">
        <v>39</v>
      </c>
      <c r="E51" s="19" t="s">
        <v>76</v>
      </c>
      <c r="F51" s="19" t="s">
        <v>40</v>
      </c>
      <c r="G51" s="102" t="s">
        <v>40</v>
      </c>
      <c r="H51" s="63"/>
      <c r="I51" s="19" t="s">
        <v>41</v>
      </c>
      <c r="J51" s="20"/>
      <c r="K51" s="19" t="s">
        <v>42</v>
      </c>
      <c r="L51" s="19" t="s">
        <v>7</v>
      </c>
      <c r="M51" s="19" t="s">
        <v>7</v>
      </c>
      <c r="N51" s="19" t="s">
        <v>7</v>
      </c>
    </row>
    <row r="52" spans="2:15" x14ac:dyDescent="0.25">
      <c r="B52" s="36" t="str">
        <f>New_Raw!B23</f>
        <v>ELNChubBUwGHw</v>
      </c>
      <c r="C52" s="37" t="str">
        <f>"Electricity/Secondary/"&amp;VLOOKUP($B52,New_Raw!$B$7:$M$55,New_Raw!D$1,FALSE)</f>
        <v>Electricity/Secondary/BUw</v>
      </c>
      <c r="D52" s="36" t="str">
        <f>"Electricity/Secondary/"&amp;VLOOKUP($B52,New_Raw!$B$7:$M$55,New_Raw!C$1,FALSE)</f>
        <v>Electricity/Secondary/GHw</v>
      </c>
      <c r="E52" s="49" t="s">
        <v>59</v>
      </c>
      <c r="F52" s="49">
        <v>1</v>
      </c>
      <c r="G52" s="104">
        <f>1-VLOOKUP($B52,New_Raw!$B$7:$M$55,New_Raw!I$1,FALSE)</f>
        <v>0.97499999999999998</v>
      </c>
      <c r="H52" s="42">
        <f>VLOOKUP($B52,New_Raw!$B$7:$M$55,New_Raw!M$1,FALSE)</f>
        <v>2013</v>
      </c>
      <c r="I52" s="53">
        <f>1-VLOOKUP($B52,New_Raw!$B$7:$M$55,New_Raw!J$1,FALSE)</f>
        <v>0.99619999999999997</v>
      </c>
      <c r="J52" s="49">
        <v>50</v>
      </c>
      <c r="K52" s="37"/>
      <c r="L52" s="57"/>
      <c r="M52" s="36" t="str">
        <f>""</f>
        <v/>
      </c>
      <c r="N52" s="50" t="str">
        <f>N46</f>
        <v>0 0 0 332 0 332 0 0 0 0 0 0</v>
      </c>
    </row>
    <row r="53" spans="2:15" x14ac:dyDescent="0.25">
      <c r="B53" s="36" t="str">
        <f>New_Raw!B24</f>
        <v>ELNChubMAwBUw</v>
      </c>
      <c r="C53" s="37" t="str">
        <f>"Electricity/Secondary/"&amp;VLOOKUP($B53,New_Raw!$B$7:$M$55,New_Raw!D$1,FALSE)</f>
        <v>Electricity/Secondary/MAw</v>
      </c>
      <c r="D53" s="36" t="str">
        <f>"Electricity/Secondary/"&amp;VLOOKUP($B53,New_Raw!$B$7:$M$55,New_Raw!C$1,FALSE)</f>
        <v>Electricity/Secondary/BUw</v>
      </c>
      <c r="E53" s="49" t="s">
        <v>59</v>
      </c>
      <c r="F53" s="49">
        <v>1</v>
      </c>
      <c r="G53" s="104">
        <f>1-VLOOKUP($B53,New_Raw!$B$7:$M$55,New_Raw!I$1,FALSE)</f>
        <v>0.93558626919602528</v>
      </c>
      <c r="H53" s="42">
        <f>VLOOKUP($B53,New_Raw!$B$7:$M$55,New_Raw!M$1,FALSE)</f>
        <v>2015</v>
      </c>
      <c r="I53" s="53">
        <f>1-VLOOKUP($B53,New_Raw!$B$7:$M$55,New_Raw!J$1,FALSE)</f>
        <v>0.99</v>
      </c>
      <c r="J53" s="49">
        <v>50</v>
      </c>
      <c r="K53" s="37"/>
      <c r="L53" s="57"/>
      <c r="M53" s="36" t="str">
        <f>""</f>
        <v/>
      </c>
      <c r="N53" s="50" t="str">
        <f t="shared" ref="N53:N54" si="2">N47</f>
        <v>0 0 0 0 0 306 0 0 0 0 0 0</v>
      </c>
    </row>
    <row r="54" spans="2:15" x14ac:dyDescent="0.25">
      <c r="B54" s="36" t="str">
        <f>New_Raw!B25</f>
        <v>ELNChubCIwMAw</v>
      </c>
      <c r="C54" s="37" t="str">
        <f>"Electricity/Secondary/"&amp;VLOOKUP($B54,New_Raw!$B$7:$M$55,New_Raw!D$1,FALSE)</f>
        <v>Electricity/Secondary/CIw</v>
      </c>
      <c r="D54" s="36" t="str">
        <f>"Electricity/Secondary/"&amp;VLOOKUP($B54,New_Raw!$B$7:$M$55,New_Raw!C$1,FALSE)</f>
        <v>Electricity/Secondary/MAw</v>
      </c>
      <c r="E54" s="49" t="s">
        <v>59</v>
      </c>
      <c r="F54" s="49">
        <v>1</v>
      </c>
      <c r="G54" s="104">
        <f>1-VLOOKUP($B54,New_Raw!$B$7:$M$55,New_Raw!I$1,FALSE)</f>
        <v>0.95666712655005337</v>
      </c>
      <c r="H54" s="42">
        <f>VLOOKUP($B54,New_Raw!$B$7:$M$55,New_Raw!M$1,FALSE)</f>
        <v>2012</v>
      </c>
      <c r="I54" s="53">
        <f>1-VLOOKUP($B54,New_Raw!$B$7:$M$55,New_Raw!J$1,FALSE)</f>
        <v>0.99319999999999997</v>
      </c>
      <c r="J54" s="49">
        <v>50</v>
      </c>
      <c r="K54" s="37"/>
      <c r="L54" s="57"/>
      <c r="M54" s="36" t="str">
        <f>""</f>
        <v/>
      </c>
      <c r="N54" s="50" t="str">
        <f t="shared" si="2"/>
        <v>0 0 320 0 0 0 0 0 0 0 0 0</v>
      </c>
    </row>
    <row r="56" spans="2:15" ht="18" thickBot="1" x14ac:dyDescent="0.35">
      <c r="B56" s="99" t="s">
        <v>190</v>
      </c>
      <c r="C56" s="99"/>
    </row>
    <row r="57" spans="2:15" ht="27" thickTop="1" thickBot="1" x14ac:dyDescent="0.3">
      <c r="B57" s="16" t="str">
        <f>New_Raw!C28</f>
        <v>Corridor Nord</v>
      </c>
      <c r="C57" s="17" t="s">
        <v>29</v>
      </c>
      <c r="D57" s="17" t="s">
        <v>30</v>
      </c>
      <c r="E57" s="17" t="s">
        <v>39</v>
      </c>
      <c r="F57" s="17" t="s">
        <v>29</v>
      </c>
      <c r="G57" s="101" t="s">
        <v>45</v>
      </c>
      <c r="H57" s="62" t="s">
        <v>31</v>
      </c>
      <c r="I57" s="17" t="s">
        <v>32</v>
      </c>
      <c r="J57" s="18" t="s">
        <v>33</v>
      </c>
      <c r="K57" s="17" t="s">
        <v>34</v>
      </c>
      <c r="L57" s="17" t="s">
        <v>35</v>
      </c>
      <c r="M57" s="17" t="s">
        <v>36</v>
      </c>
      <c r="N57" s="17" t="s">
        <v>92</v>
      </c>
      <c r="O57" s="17" t="s">
        <v>79</v>
      </c>
    </row>
    <row r="58" spans="2:15" ht="15.75" thickTop="1" x14ac:dyDescent="0.25">
      <c r="B58" s="19" t="s">
        <v>38</v>
      </c>
      <c r="C58" s="19" t="s">
        <v>39</v>
      </c>
      <c r="D58" s="19" t="s">
        <v>39</v>
      </c>
      <c r="E58" s="19" t="s">
        <v>76</v>
      </c>
      <c r="F58" s="19" t="s">
        <v>40</v>
      </c>
      <c r="G58" s="102" t="s">
        <v>40</v>
      </c>
      <c r="H58" s="63"/>
      <c r="I58" s="19" t="s">
        <v>41</v>
      </c>
      <c r="J58" s="20"/>
      <c r="K58" s="19" t="s">
        <v>42</v>
      </c>
      <c r="L58" s="19" t="s">
        <v>7</v>
      </c>
      <c r="M58" s="19" t="s">
        <v>7</v>
      </c>
      <c r="N58" s="19"/>
      <c r="O58" s="19"/>
    </row>
    <row r="59" spans="2:15" x14ac:dyDescent="0.25">
      <c r="B59" s="21" t="str">
        <f>New_Raw!A29</f>
        <v>ELNUCoNNGwNIw</v>
      </c>
      <c r="C59" s="22" t="str">
        <f>"Electricity/Secondary/"&amp;VLOOKUP($B59,New_Raw!$A$7:$M$55,New_Raw!C$2,FALSE)</f>
        <v>Electricity/Secondary/NGw</v>
      </c>
      <c r="D59" s="21" t="str">
        <f>"Electricity/Secondary/"&amp;VLOOKUP($B59,New_Raw!$A$7:$M$55,New_Raw!D$2,FALSE)</f>
        <v>Electricity/Secondary/NIw</v>
      </c>
      <c r="E59" s="45" t="s">
        <v>57</v>
      </c>
      <c r="F59" s="45">
        <v>1</v>
      </c>
      <c r="G59" s="103">
        <f>1-VLOOKUP($B59,New_Raw!$A$7:$M$55,New_Raw!I$2,FALSE)</f>
        <v>0.96861294571733592</v>
      </c>
      <c r="H59" s="66">
        <f>VLOOKUP($B59,New_Raw!$A$7:$M$55,New_Raw!M$2,FALSE)</f>
        <v>2016</v>
      </c>
      <c r="I59" s="51">
        <f>1-VLOOKUP($B59,New_Raw!$A$7:$M$55,New_Raw!J$2,FALSE)</f>
        <v>0.99509999999999998</v>
      </c>
      <c r="J59" s="45">
        <v>50</v>
      </c>
      <c r="K59" s="74">
        <f>VLOOKUP($B59,New_Raw!$A$7:$M$55,New_Raw!L$2,FALSE)</f>
        <v>219.1</v>
      </c>
      <c r="L59" s="55">
        <f>VLOOKUP($B59,New_Raw!$A$7:$M$55,New_Raw!G$2,FALSE)</f>
        <v>653.07020800614441</v>
      </c>
      <c r="M59" s="21" t="str">
        <f>""</f>
        <v/>
      </c>
      <c r="N59" s="24" t="str">
        <f>MID(B59,5,1)&amp;MID(B59,8,1)&amp;MID(B59,11,1)&amp;"1"</f>
        <v>CNN1</v>
      </c>
      <c r="O59" s="70">
        <v>1</v>
      </c>
    </row>
    <row r="60" spans="2:15" x14ac:dyDescent="0.25">
      <c r="B60" s="43" t="str">
        <f>New_Raw!A30</f>
        <v>ELNUCoNNIwTBw</v>
      </c>
      <c r="C60" s="25" t="str">
        <f>"Electricity/Secondary/"&amp;VLOOKUP($B60,New_Raw!$A$7:$M$55,New_Raw!C$2,FALSE)</f>
        <v>Electricity/Secondary/NIw</v>
      </c>
      <c r="D60" s="43" t="str">
        <f>"Electricity/Secondary/"&amp;VLOOKUP($B60,New_Raw!$A$7:$M$55,New_Raw!D$2,FALSE)</f>
        <v>Electricity/Secondary/TBw</v>
      </c>
      <c r="E60" s="46" t="s">
        <v>58</v>
      </c>
      <c r="F60" s="46">
        <v>1</v>
      </c>
      <c r="G60" s="106">
        <f>1-VLOOKUP($B60,New_Raw!$A$7:$M$55,New_Raw!I$2,FALSE)</f>
        <v>0.96345984725301803</v>
      </c>
      <c r="H60" s="27">
        <f>VLOOKUP($B60,New_Raw!$A$7:$M$55,New_Raw!M$2,FALSE)</f>
        <v>2016</v>
      </c>
      <c r="I60" s="52">
        <f>1-VLOOKUP($B60,New_Raw!$A$7:$M$55,New_Raw!J$2,FALSE)</f>
        <v>0.99429999999999996</v>
      </c>
      <c r="J60" s="46">
        <v>50</v>
      </c>
      <c r="K60" s="75">
        <f>VLOOKUP($B60,New_Raw!$A$7:$M$55,New_Raw!L$2,FALSE)</f>
        <v>256.39999999999998</v>
      </c>
      <c r="L60" s="46">
        <f>VLOOKUP($B60,New_Raw!$A$7:$M$55,New_Raw!G$2,FALSE)</f>
        <v>649.65194054915605</v>
      </c>
      <c r="M60" s="43" t="str">
        <f>""</f>
        <v/>
      </c>
      <c r="N60" s="47" t="str">
        <f>MID(B60,5,1)&amp;MID(B60,8,1)&amp;MID(B60,11,1)&amp;"1"</f>
        <v>CNT1</v>
      </c>
      <c r="O60" s="71">
        <v>1</v>
      </c>
    </row>
    <row r="61" spans="2:15" x14ac:dyDescent="0.25">
      <c r="B61" s="36" t="str">
        <f>New_Raw!A31</f>
        <v>ELNUCoNNIwBUw</v>
      </c>
      <c r="C61" s="37" t="str">
        <f>"Electricity/Secondary/"&amp;VLOOKUP($B61,New_Raw!$A$7:$M$55,New_Raw!C$2,FALSE)</f>
        <v>Electricity/Secondary/NIw</v>
      </c>
      <c r="D61" s="36" t="str">
        <f>"Electricity/Secondary/"&amp;VLOOKUP($B61,New_Raw!$A$7:$M$55,New_Raw!D$2,FALSE)</f>
        <v>Electricity/Secondary/BUw</v>
      </c>
      <c r="E61" s="49" t="s">
        <v>57</v>
      </c>
      <c r="F61" s="49">
        <v>1</v>
      </c>
      <c r="G61" s="104">
        <f>1-VLOOKUP($B61,New_Raw!$A$7:$M$55,New_Raw!I$2,FALSE)</f>
        <v>0.94507265500533788</v>
      </c>
      <c r="H61" s="42">
        <f>VLOOKUP($B61,New_Raw!$A$7:$M$55,New_Raw!M$2,FALSE)</f>
        <v>2016</v>
      </c>
      <c r="I61" s="53">
        <f>1-VLOOKUP($B61,New_Raw!$A$7:$M$55,New_Raw!J$2,FALSE)</f>
        <v>0.99139999999999995</v>
      </c>
      <c r="J61" s="49">
        <v>50</v>
      </c>
      <c r="K61" s="76">
        <f>VLOOKUP($B61,New_Raw!$A$7:$M$55,New_Raw!L$2,FALSE)</f>
        <v>392.8</v>
      </c>
      <c r="L61" s="49">
        <f>VLOOKUP($B61,New_Raw!$A$7:$M$55,New_Raw!G$2,FALSE)</f>
        <v>637.4549407594476</v>
      </c>
      <c r="M61" s="36" t="str">
        <f>""</f>
        <v/>
      </c>
      <c r="N61" s="50" t="str">
        <f>MID(B61,5,1)&amp;MID(B61,8,1)&amp;MID(B61,11,1)&amp;"1"</f>
        <v>CNB1</v>
      </c>
      <c r="O61" s="72">
        <v>1</v>
      </c>
    </row>
    <row r="63" spans="2:15" ht="26.25" thickBot="1" x14ac:dyDescent="0.3">
      <c r="B63" s="16" t="str">
        <f>B57&amp;" (Reverse)"</f>
        <v>Corridor Nord (Reverse)</v>
      </c>
      <c r="C63" s="17" t="s">
        <v>29</v>
      </c>
      <c r="D63" s="17" t="s">
        <v>30</v>
      </c>
      <c r="E63" s="17" t="s">
        <v>39</v>
      </c>
      <c r="F63" s="17" t="s">
        <v>29</v>
      </c>
      <c r="G63" s="101" t="s">
        <v>45</v>
      </c>
      <c r="H63" s="62" t="s">
        <v>31</v>
      </c>
      <c r="I63" s="17" t="s">
        <v>32</v>
      </c>
      <c r="J63" s="18" t="s">
        <v>33</v>
      </c>
      <c r="K63" s="17" t="s">
        <v>34</v>
      </c>
      <c r="L63" s="17" t="s">
        <v>35</v>
      </c>
      <c r="M63" s="17" t="s">
        <v>36</v>
      </c>
      <c r="N63" s="17" t="s">
        <v>92</v>
      </c>
      <c r="O63" s="17" t="s">
        <v>79</v>
      </c>
    </row>
    <row r="64" spans="2:15" ht="15.75" thickTop="1" x14ac:dyDescent="0.25">
      <c r="B64" s="19" t="s">
        <v>38</v>
      </c>
      <c r="C64" s="19" t="s">
        <v>39</v>
      </c>
      <c r="D64" s="19" t="s">
        <v>39</v>
      </c>
      <c r="E64" s="19" t="s">
        <v>76</v>
      </c>
      <c r="F64" s="19" t="s">
        <v>40</v>
      </c>
      <c r="G64" s="102" t="s">
        <v>40</v>
      </c>
      <c r="H64" s="63"/>
      <c r="I64" s="19" t="s">
        <v>41</v>
      </c>
      <c r="J64" s="20"/>
      <c r="K64" s="19" t="s">
        <v>42</v>
      </c>
      <c r="L64" s="19" t="s">
        <v>7</v>
      </c>
      <c r="M64" s="19" t="s">
        <v>7</v>
      </c>
      <c r="N64" s="19"/>
      <c r="O64" s="19"/>
    </row>
    <row r="65" spans="2:15" x14ac:dyDescent="0.25">
      <c r="B65" s="21" t="str">
        <f>New_Raw!B29</f>
        <v>ELNUCoNNIwNGw</v>
      </c>
      <c r="C65" s="22" t="str">
        <f>"Electricity/Secondary/"&amp;VLOOKUP($B65,New_Raw!$B$7:$M$55,New_Raw!D$1,FALSE)</f>
        <v>Electricity/Secondary/NIw</v>
      </c>
      <c r="D65" s="21" t="str">
        <f>"Electricity/Secondary/"&amp;VLOOKUP($B65,New_Raw!$B$7:$M$55,New_Raw!C$1,FALSE)</f>
        <v>Electricity/Secondary/NGw</v>
      </c>
      <c r="E65" s="45" t="s">
        <v>57</v>
      </c>
      <c r="F65" s="45">
        <v>1</v>
      </c>
      <c r="G65" s="103">
        <f>1-VLOOKUP($B65,New_Raw!$B$7:$M$55,New_Raw!I$1,FALSE)</f>
        <v>0.96861294571733592</v>
      </c>
      <c r="H65" s="66">
        <f>VLOOKUP($B65,New_Raw!$B$7:$M$55,New_Raw!M$1,FALSE)</f>
        <v>2016</v>
      </c>
      <c r="I65" s="51">
        <f>1-VLOOKUP($B65,New_Raw!$B$7:$M$55,New_Raw!J$1,FALSE)</f>
        <v>0.99509999999999998</v>
      </c>
      <c r="J65" s="45">
        <v>50</v>
      </c>
      <c r="K65" s="22"/>
      <c r="L65" s="55">
        <f>VLOOKUP($B65,New_Raw!$B$7:$M$55,New_Raw!G$1,FALSE)</f>
        <v>653.07020800614441</v>
      </c>
      <c r="M65" s="21" t="str">
        <f>""</f>
        <v/>
      </c>
      <c r="N65" s="24" t="str">
        <f>N59</f>
        <v>CNN1</v>
      </c>
      <c r="O65" s="70">
        <v>-1</v>
      </c>
    </row>
    <row r="66" spans="2:15" x14ac:dyDescent="0.25">
      <c r="B66" s="43" t="str">
        <f>New_Raw!B30</f>
        <v>ELNUCoNTBwNIw</v>
      </c>
      <c r="C66" s="25" t="str">
        <f>"Electricity/Secondary/"&amp;VLOOKUP($B66,New_Raw!$B$7:$M$55,New_Raw!D$1,FALSE)</f>
        <v>Electricity/Secondary/TBw</v>
      </c>
      <c r="D66" s="43" t="str">
        <f>"Electricity/Secondary/"&amp;VLOOKUP($B66,New_Raw!$B$7:$M$55,New_Raw!C$1,FALSE)</f>
        <v>Electricity/Secondary/NIw</v>
      </c>
      <c r="E66" s="46" t="s">
        <v>58</v>
      </c>
      <c r="F66" s="46">
        <v>1</v>
      </c>
      <c r="G66" s="106">
        <f>1-VLOOKUP($B66,New_Raw!$B$7:$M$55,New_Raw!I$1,FALSE)</f>
        <v>0.96345984725301803</v>
      </c>
      <c r="H66" s="27">
        <f>VLOOKUP($B66,New_Raw!$B$7:$M$55,New_Raw!M$1,FALSE)</f>
        <v>2016</v>
      </c>
      <c r="I66" s="52">
        <f>1-VLOOKUP($B66,New_Raw!$B$7:$M$55,New_Raw!J$1,FALSE)</f>
        <v>0.99429999999999996</v>
      </c>
      <c r="J66" s="46">
        <v>50</v>
      </c>
      <c r="K66" s="25"/>
      <c r="L66" s="56">
        <f>VLOOKUP($B66,New_Raw!$B$7:$M$55,New_Raw!G$1,FALSE)</f>
        <v>649.65194054915605</v>
      </c>
      <c r="M66" s="43" t="str">
        <f>""</f>
        <v/>
      </c>
      <c r="N66" s="47" t="str">
        <f>N60</f>
        <v>CNT1</v>
      </c>
      <c r="O66" s="71">
        <v>-1</v>
      </c>
    </row>
    <row r="67" spans="2:15" x14ac:dyDescent="0.25">
      <c r="B67" s="36" t="str">
        <f>New_Raw!B31</f>
        <v>ELNUCoNBUwNIw</v>
      </c>
      <c r="C67" s="37" t="str">
        <f>"Electricity/Secondary/"&amp;VLOOKUP($B67,New_Raw!$B$7:$M$55,New_Raw!D$1,FALSE)</f>
        <v>Electricity/Secondary/BUw</v>
      </c>
      <c r="D67" s="36" t="str">
        <f>"Electricity/Secondary/"&amp;VLOOKUP($B67,New_Raw!$B$7:$M$55,New_Raw!C$1,FALSE)</f>
        <v>Electricity/Secondary/NIw</v>
      </c>
      <c r="E67" s="49" t="s">
        <v>59</v>
      </c>
      <c r="F67" s="49">
        <v>1</v>
      </c>
      <c r="G67" s="104">
        <f>1-VLOOKUP($B67,New_Raw!$B$7:$M$55,New_Raw!I$1,FALSE)</f>
        <v>0.94507265500533788</v>
      </c>
      <c r="H67" s="42">
        <f>VLOOKUP($B67,New_Raw!$B$7:$M$55,New_Raw!M$1,FALSE)</f>
        <v>2016</v>
      </c>
      <c r="I67" s="53">
        <f>1-VLOOKUP($B67,New_Raw!$B$7:$M$55,New_Raw!J$1,FALSE)</f>
        <v>0.99139999999999995</v>
      </c>
      <c r="J67" s="49">
        <v>50</v>
      </c>
      <c r="K67" s="37"/>
      <c r="L67" s="57">
        <f>VLOOKUP($B67,New_Raw!$B$7:$M$55,New_Raw!G$1,FALSE)</f>
        <v>637.4549407594476</v>
      </c>
      <c r="M67" s="36" t="str">
        <f>""</f>
        <v/>
      </c>
      <c r="N67" s="50" t="str">
        <f>N61</f>
        <v>CNB1</v>
      </c>
      <c r="O67" s="72">
        <v>-1</v>
      </c>
    </row>
    <row r="68" spans="2:15" x14ac:dyDescent="0.25">
      <c r="B68" s="2"/>
      <c r="C68" s="2"/>
      <c r="D68" s="2"/>
      <c r="E68" s="58"/>
      <c r="F68" s="58"/>
      <c r="G68" s="105"/>
      <c r="H68" s="58"/>
      <c r="I68" s="60"/>
      <c r="J68" s="58"/>
      <c r="K68" s="2"/>
      <c r="L68" s="61"/>
      <c r="M68" s="2"/>
      <c r="N68" s="59"/>
    </row>
    <row r="70" spans="2:15" ht="26.25" thickBot="1" x14ac:dyDescent="0.3">
      <c r="B70" s="16" t="str">
        <f>New_Raw!C36</f>
        <v>Hub Intrazonal</v>
      </c>
      <c r="C70" s="17" t="s">
        <v>29</v>
      </c>
      <c r="D70" s="17" t="s">
        <v>30</v>
      </c>
      <c r="E70" s="17" t="s">
        <v>39</v>
      </c>
      <c r="F70" s="17" t="s">
        <v>29</v>
      </c>
      <c r="G70" s="101" t="s">
        <v>45</v>
      </c>
      <c r="H70" s="62" t="s">
        <v>31</v>
      </c>
      <c r="I70" s="17" t="s">
        <v>32</v>
      </c>
      <c r="J70" s="18" t="s">
        <v>33</v>
      </c>
      <c r="K70" s="17" t="s">
        <v>34</v>
      </c>
      <c r="L70" s="17" t="s">
        <v>35</v>
      </c>
      <c r="M70" s="17" t="s">
        <v>36</v>
      </c>
      <c r="N70" s="17" t="s">
        <v>92</v>
      </c>
      <c r="O70" s="17" t="s">
        <v>79</v>
      </c>
    </row>
    <row r="71" spans="2:15" ht="15.75" thickTop="1" x14ac:dyDescent="0.25">
      <c r="B71" s="19" t="s">
        <v>38</v>
      </c>
      <c r="C71" s="19" t="s">
        <v>39</v>
      </c>
      <c r="D71" s="19" t="s">
        <v>39</v>
      </c>
      <c r="E71" s="19" t="s">
        <v>76</v>
      </c>
      <c r="F71" s="19" t="s">
        <v>40</v>
      </c>
      <c r="G71" s="102" t="s">
        <v>40</v>
      </c>
      <c r="H71" s="63"/>
      <c r="I71" s="19" t="s">
        <v>41</v>
      </c>
      <c r="J71" s="20"/>
      <c r="K71" s="19" t="s">
        <v>42</v>
      </c>
      <c r="L71" s="19" t="s">
        <v>7</v>
      </c>
      <c r="M71" s="19" t="s">
        <v>7</v>
      </c>
      <c r="N71" s="19"/>
      <c r="O71" s="19"/>
    </row>
    <row r="72" spans="2:15" x14ac:dyDescent="0.25">
      <c r="B72" s="36" t="str">
        <f>New_Raw!A37</f>
        <v>ELNUhubGUwMAw</v>
      </c>
      <c r="C72" s="37" t="str">
        <f>"Electricity/Secondary/"&amp;VLOOKUP($B72,New_Raw!$A$7:$M$55,New_Raw!C$2,FALSE)</f>
        <v>Electricity/Secondary/GUw</v>
      </c>
      <c r="D72" s="36" t="str">
        <f>"Electricity/Secondary/"&amp;VLOOKUP($B72,New_Raw!$A$7:$M$55,New_Raw!D$2,FALSE)</f>
        <v>Electricity/Secondary/MAw</v>
      </c>
      <c r="E72" s="49" t="s">
        <v>259</v>
      </c>
      <c r="F72" s="49">
        <v>1</v>
      </c>
      <c r="G72" s="104">
        <f>1-VLOOKUP($B72,New_Raw!$A$7:$M$55,New_Raw!I$2,FALSE)</f>
        <v>0.95900944403383426</v>
      </c>
      <c r="H72" s="67">
        <f>VLOOKUP($B72,New_Raw!$A$7:$M$55,New_Raw!M$2,FALSE)</f>
        <v>2016</v>
      </c>
      <c r="I72" s="53">
        <f>1-VLOOKUP($B72,New_Raw!$A$7:$M$55,New_Raw!J$2,FALSE)</f>
        <v>0.99360000000000004</v>
      </c>
      <c r="J72" s="49">
        <v>50</v>
      </c>
      <c r="K72" s="76">
        <f>VLOOKUP($B72,New_Raw!$A$7:$M$55,New_Raw!L$2,FALSE)</f>
        <v>366.1</v>
      </c>
      <c r="L72" s="49">
        <f>VLOOKUP($B72,New_Raw!$A$7:$M$55,New_Raw!G$2,FALSE)</f>
        <v>321.29382253233103</v>
      </c>
      <c r="M72" s="36" t="str">
        <f>""</f>
        <v/>
      </c>
      <c r="N72" s="50" t="str">
        <f>MID(B72,5,1)&amp;MID(B72,8,1)&amp;MID(B72,11,1)&amp;"1"</f>
        <v>hGM1</v>
      </c>
      <c r="O72" s="72">
        <v>1</v>
      </c>
    </row>
    <row r="74" spans="2:15" ht="26.25" thickBot="1" x14ac:dyDescent="0.3">
      <c r="B74" s="16" t="str">
        <f>B70&amp;" (Reverse)"</f>
        <v>Hub Intrazonal (Reverse)</v>
      </c>
      <c r="C74" s="17" t="s">
        <v>29</v>
      </c>
      <c r="D74" s="17" t="s">
        <v>30</v>
      </c>
      <c r="E74" s="17" t="s">
        <v>39</v>
      </c>
      <c r="F74" s="17" t="s">
        <v>29</v>
      </c>
      <c r="G74" s="101" t="s">
        <v>45</v>
      </c>
      <c r="H74" s="62" t="s">
        <v>31</v>
      </c>
      <c r="I74" s="17" t="s">
        <v>32</v>
      </c>
      <c r="J74" s="18" t="s">
        <v>33</v>
      </c>
      <c r="K74" s="17" t="s">
        <v>34</v>
      </c>
      <c r="L74" s="17" t="s">
        <v>35</v>
      </c>
      <c r="M74" s="17" t="s">
        <v>36</v>
      </c>
      <c r="N74" s="17" t="s">
        <v>92</v>
      </c>
      <c r="O74" s="17" t="s">
        <v>79</v>
      </c>
    </row>
    <row r="75" spans="2:15" ht="15.75" thickTop="1" x14ac:dyDescent="0.25">
      <c r="B75" s="19" t="s">
        <v>38</v>
      </c>
      <c r="C75" s="19" t="s">
        <v>39</v>
      </c>
      <c r="D75" s="19" t="s">
        <v>39</v>
      </c>
      <c r="E75" s="19" t="s">
        <v>76</v>
      </c>
      <c r="F75" s="19" t="s">
        <v>40</v>
      </c>
      <c r="G75" s="102" t="s">
        <v>40</v>
      </c>
      <c r="H75" s="63"/>
      <c r="I75" s="19" t="s">
        <v>41</v>
      </c>
      <c r="J75" s="20"/>
      <c r="K75" s="19" t="s">
        <v>42</v>
      </c>
      <c r="L75" s="19" t="s">
        <v>7</v>
      </c>
      <c r="M75" s="19" t="s">
        <v>7</v>
      </c>
      <c r="N75" s="19"/>
      <c r="O75" s="19"/>
    </row>
    <row r="76" spans="2:15" x14ac:dyDescent="0.25">
      <c r="B76" s="36" t="str">
        <f>New_Raw!B37</f>
        <v>ELNUhubMAwGUw</v>
      </c>
      <c r="C76" s="37" t="str">
        <f>"Electricity/Secondary/"&amp;VLOOKUP($B76,New_Raw!$B$7:$M$55,New_Raw!D$1,FALSE)</f>
        <v>Electricity/Secondary/MAw</v>
      </c>
      <c r="D76" s="36" t="str">
        <f>"Electricity/Secondary/"&amp;VLOOKUP($B76,New_Raw!$B$7:$M$55,New_Raw!C$1,FALSE)</f>
        <v>Electricity/Secondary/GUw</v>
      </c>
      <c r="E76" s="49" t="s">
        <v>260</v>
      </c>
      <c r="F76" s="49">
        <v>1</v>
      </c>
      <c r="G76" s="104">
        <f>1-VLOOKUP($B76,New_Raw!$B$7:$M$55,New_Raw!I$1,FALSE)</f>
        <v>0.95900944403383426</v>
      </c>
      <c r="H76" s="42">
        <f>VLOOKUP($B76,New_Raw!$B$7:$M$55,New_Raw!M$1,FALSE)</f>
        <v>2016</v>
      </c>
      <c r="I76" s="53">
        <f>1-VLOOKUP($B76,New_Raw!$B$7:$M$55,New_Raw!J$1,FALSE)</f>
        <v>0.99360000000000004</v>
      </c>
      <c r="J76" s="49">
        <v>50</v>
      </c>
      <c r="K76" s="37"/>
      <c r="L76" s="57">
        <f>VLOOKUP($B76,New_Raw!$B$7:$M$55,New_Raw!G$1,FALSE)</f>
        <v>321.29382253233103</v>
      </c>
      <c r="M76" s="36" t="str">
        <f>""</f>
        <v/>
      </c>
      <c r="N76" s="50" t="str">
        <f>N72</f>
        <v>hGM1</v>
      </c>
      <c r="O76" s="72">
        <v>-1</v>
      </c>
    </row>
    <row r="78" spans="2:15" ht="18" thickBot="1" x14ac:dyDescent="0.35">
      <c r="B78" s="99" t="s">
        <v>191</v>
      </c>
      <c r="C78" s="99"/>
    </row>
    <row r="79" spans="2:15" ht="27" thickTop="1" thickBot="1" x14ac:dyDescent="0.3">
      <c r="B79" s="16" t="str">
        <f>New_Raw!C40</f>
        <v>Dorsale Mediane</v>
      </c>
      <c r="C79" s="17" t="s">
        <v>29</v>
      </c>
      <c r="D79" s="17" t="s">
        <v>30</v>
      </c>
      <c r="E79" s="17" t="s">
        <v>39</v>
      </c>
      <c r="F79" s="17" t="s">
        <v>29</v>
      </c>
      <c r="G79" s="101" t="s">
        <v>45</v>
      </c>
      <c r="H79" s="62" t="s">
        <v>31</v>
      </c>
      <c r="I79" s="17" t="s">
        <v>32</v>
      </c>
      <c r="J79" s="18" t="s">
        <v>33</v>
      </c>
      <c r="K79" s="17" t="s">
        <v>34</v>
      </c>
      <c r="L79" s="17" t="s">
        <v>35</v>
      </c>
      <c r="M79" s="17" t="s">
        <v>36</v>
      </c>
      <c r="N79" s="17" t="s">
        <v>92</v>
      </c>
      <c r="O79" s="17" t="s">
        <v>79</v>
      </c>
    </row>
    <row r="80" spans="2:15" ht="15.75" thickTop="1" x14ac:dyDescent="0.25">
      <c r="B80" s="19" t="s">
        <v>38</v>
      </c>
      <c r="C80" s="19" t="s">
        <v>39</v>
      </c>
      <c r="D80" s="19" t="s">
        <v>39</v>
      </c>
      <c r="E80" s="19" t="s">
        <v>76</v>
      </c>
      <c r="F80" s="19" t="s">
        <v>40</v>
      </c>
      <c r="G80" s="102" t="s">
        <v>40</v>
      </c>
      <c r="H80" s="63"/>
      <c r="I80" s="19" t="s">
        <v>41</v>
      </c>
      <c r="J80" s="20"/>
      <c r="K80" s="19" t="s">
        <v>42</v>
      </c>
      <c r="L80" s="19" t="s">
        <v>7</v>
      </c>
      <c r="M80" s="19" t="s">
        <v>7</v>
      </c>
      <c r="N80" s="19"/>
      <c r="O80" s="19"/>
    </row>
    <row r="81" spans="2:15" x14ac:dyDescent="0.25">
      <c r="B81" s="21" t="str">
        <f>New_Raw!A41</f>
        <v>ELNUDmeNGwTBw</v>
      </c>
      <c r="C81" s="22" t="str">
        <f>"Electricity/Secondary/"&amp;VLOOKUP($B81,New_Raw!$A$7:$M$55,New_Raw!C$2,FALSE)</f>
        <v>Electricity/Secondary/NGw</v>
      </c>
      <c r="D81" s="21" t="str">
        <f>"Electricity/Secondary/"&amp;VLOOKUP($B81,New_Raw!$A$7:$M$55,New_Raw!D$2,FALSE)</f>
        <v>Electricity/Secondary/TBw</v>
      </c>
      <c r="E81" s="45" t="s">
        <v>59</v>
      </c>
      <c r="F81" s="45">
        <v>1</v>
      </c>
      <c r="G81" s="103">
        <f>1-VLOOKUP($B81,New_Raw!$A$7:$M$55,New_Raw!I$2,FALSE)</f>
        <v>0.95900944403383426</v>
      </c>
      <c r="H81" s="66">
        <f>VLOOKUP($B81,New_Raw!$A$7:$M$55,New_Raw!M$2,FALSE)</f>
        <v>2020</v>
      </c>
      <c r="I81" s="51">
        <f>1-VLOOKUP($B81,New_Raw!$A$7:$M$55,New_Raw!J$2,FALSE)</f>
        <v>0.99360000000000004</v>
      </c>
      <c r="J81" s="45">
        <v>50</v>
      </c>
      <c r="K81" s="74">
        <f>VLOOKUP($B81,New_Raw!$A$7:$M$55,New_Raw!L$2,FALSE)</f>
        <v>254.6</v>
      </c>
      <c r="L81" s="55">
        <f>VLOOKUP($B81,New_Raw!$A$7:$M$55,New_Raw!G$2,FALSE)</f>
        <v>646.69980047266608</v>
      </c>
      <c r="M81" s="21" t="str">
        <f>""</f>
        <v/>
      </c>
      <c r="N81" s="24" t="str">
        <f>MID(B81,5,1)&amp;MID(B81,8,1)&amp;MID(B81,11,1)&amp;"1"</f>
        <v>DNT1</v>
      </c>
      <c r="O81" s="70">
        <v>1</v>
      </c>
    </row>
    <row r="82" spans="2:15" x14ac:dyDescent="0.25">
      <c r="B82" s="36" t="str">
        <f>New_Raw!A42</f>
        <v>ELNUDMeTBwGHw</v>
      </c>
      <c r="C82" s="37" t="str">
        <f>"Electricity/Secondary/"&amp;VLOOKUP($B82,New_Raw!$A$7:$M$55,New_Raw!C$2,FALSE)</f>
        <v>Electricity/Secondary/TBw</v>
      </c>
      <c r="D82" s="36" t="str">
        <f>"Electricity/Secondary/"&amp;VLOOKUP($B82,New_Raw!$A$7:$M$55,New_Raw!D$2,FALSE)</f>
        <v>Electricity/Secondary/GHw</v>
      </c>
      <c r="E82" s="49" t="s">
        <v>60</v>
      </c>
      <c r="F82" s="49">
        <v>1</v>
      </c>
      <c r="G82" s="104">
        <f>1-VLOOKUP($B82,New_Raw!$A$7:$M$55,New_Raw!I$2,FALSE)</f>
        <v>0.9707210314527388</v>
      </c>
      <c r="H82" s="42">
        <f>VLOOKUP($B82,New_Raw!$A$7:$M$55,New_Raw!M$2,FALSE)</f>
        <v>2020</v>
      </c>
      <c r="I82" s="53">
        <f>1-VLOOKUP($B82,New_Raw!$A$7:$M$55,New_Raw!J$2,FALSE)</f>
        <v>0.99539999999999995</v>
      </c>
      <c r="J82" s="49">
        <v>50</v>
      </c>
      <c r="K82" s="76">
        <f>VLOOKUP($B82,New_Raw!$A$7:$M$55,New_Raw!L$2,FALSE)</f>
        <v>179.7</v>
      </c>
      <c r="L82" s="49">
        <f>VLOOKUP($B82,New_Raw!$A$7:$M$55,New_Raw!G$2,FALSE)</f>
        <v>654.4685901476397</v>
      </c>
      <c r="M82" s="36" t="str">
        <f>""</f>
        <v/>
      </c>
      <c r="N82" s="50" t="str">
        <f>MID(B82,5,1)&amp;MID(B82,8,1)&amp;MID(B82,11,1)&amp;"1"</f>
        <v>DTG1</v>
      </c>
      <c r="O82" s="72">
        <v>1</v>
      </c>
    </row>
    <row r="84" spans="2:15" ht="26.25" thickBot="1" x14ac:dyDescent="0.3">
      <c r="B84" s="16" t="str">
        <f>B79&amp;" (Reverse)"</f>
        <v>Dorsale Mediane (Reverse)</v>
      </c>
      <c r="C84" s="17" t="s">
        <v>29</v>
      </c>
      <c r="D84" s="17" t="s">
        <v>30</v>
      </c>
      <c r="E84" s="17" t="s">
        <v>39</v>
      </c>
      <c r="F84" s="17" t="s">
        <v>29</v>
      </c>
      <c r="G84" s="101" t="s">
        <v>45</v>
      </c>
      <c r="H84" s="62" t="s">
        <v>31</v>
      </c>
      <c r="I84" s="17" t="s">
        <v>32</v>
      </c>
      <c r="J84" s="18" t="s">
        <v>33</v>
      </c>
      <c r="K84" s="17" t="s">
        <v>34</v>
      </c>
      <c r="L84" s="17" t="s">
        <v>35</v>
      </c>
      <c r="M84" s="17" t="s">
        <v>36</v>
      </c>
      <c r="N84" s="17" t="s">
        <v>92</v>
      </c>
      <c r="O84" s="17" t="s">
        <v>79</v>
      </c>
    </row>
    <row r="85" spans="2:15" ht="15.75" thickTop="1" x14ac:dyDescent="0.25">
      <c r="B85" s="19" t="s">
        <v>38</v>
      </c>
      <c r="C85" s="19" t="s">
        <v>39</v>
      </c>
      <c r="D85" s="19" t="s">
        <v>39</v>
      </c>
      <c r="E85" s="19" t="s">
        <v>76</v>
      </c>
      <c r="F85" s="19" t="s">
        <v>40</v>
      </c>
      <c r="G85" s="102" t="s">
        <v>40</v>
      </c>
      <c r="H85" s="63"/>
      <c r="I85" s="19" t="s">
        <v>41</v>
      </c>
      <c r="J85" s="20"/>
      <c r="K85" s="19" t="s">
        <v>42</v>
      </c>
      <c r="L85" s="19" t="s">
        <v>7</v>
      </c>
      <c r="M85" s="19" t="s">
        <v>7</v>
      </c>
      <c r="N85" s="19"/>
      <c r="O85" s="19"/>
    </row>
    <row r="86" spans="2:15" x14ac:dyDescent="0.25">
      <c r="B86" s="21" t="str">
        <f>New_Raw!B41</f>
        <v>ELNUDMeTBwNGw</v>
      </c>
      <c r="C86" s="22" t="str">
        <f>"Electricity/Secondary/"&amp;VLOOKUP($B86,New_Raw!$B$7:$M$55,New_Raw!D$1,FALSE)</f>
        <v>Electricity/Secondary/TBw</v>
      </c>
      <c r="D86" s="21" t="str">
        <f>"Electricity/Secondary/"&amp;VLOOKUP($B86,New_Raw!$B$7:$M$55,New_Raw!C$1,FALSE)</f>
        <v>Electricity/Secondary/NGw</v>
      </c>
      <c r="E86" s="45" t="s">
        <v>77</v>
      </c>
      <c r="F86" s="45">
        <v>1</v>
      </c>
      <c r="G86" s="103">
        <f>1-VLOOKUP($B86,New_Raw!$B$7:$M$55,New_Raw!I$1,FALSE)</f>
        <v>0.95900944403383426</v>
      </c>
      <c r="H86" s="66">
        <f>VLOOKUP($B86,New_Raw!$B$7:$M$55,New_Raw!M$1,FALSE)</f>
        <v>2020</v>
      </c>
      <c r="I86" s="51">
        <f>1-VLOOKUP($B86,New_Raw!$B$7:$M$55,New_Raw!J$1,FALSE)</f>
        <v>0.99360000000000004</v>
      </c>
      <c r="J86" s="45">
        <v>50</v>
      </c>
      <c r="K86" s="22"/>
      <c r="L86" s="55">
        <f>VLOOKUP($B86,New_Raw!$B$7:$M$55,New_Raw!G$1,FALSE)</f>
        <v>646.69980047266608</v>
      </c>
      <c r="M86" s="21" t="str">
        <f>""</f>
        <v/>
      </c>
      <c r="N86" s="24" t="str">
        <f>N81</f>
        <v>DNT1</v>
      </c>
      <c r="O86" s="70">
        <v>-1</v>
      </c>
    </row>
    <row r="87" spans="2:15" x14ac:dyDescent="0.25">
      <c r="B87" s="36" t="str">
        <f>New_Raw!B42</f>
        <v>ELNUDMeGHwTBw</v>
      </c>
      <c r="C87" s="37" t="str">
        <f>"Electricity/Secondary/"&amp;VLOOKUP($B87,New_Raw!$B$7:$M$55,New_Raw!D$1,FALSE)</f>
        <v>Electricity/Secondary/GHw</v>
      </c>
      <c r="D87" s="36" t="str">
        <f>"Electricity/Secondary/"&amp;VLOOKUP($B87,New_Raw!$B$7:$M$55,New_Raw!C$1,FALSE)</f>
        <v>Electricity/Secondary/TBw</v>
      </c>
      <c r="E87" s="49" t="s">
        <v>258</v>
      </c>
      <c r="F87" s="49">
        <v>1</v>
      </c>
      <c r="G87" s="104">
        <f>1-VLOOKUP($B87,New_Raw!$B$7:$M$55,New_Raw!I$1,FALSE)</f>
        <v>0.9707210314527388</v>
      </c>
      <c r="H87" s="42">
        <f>VLOOKUP($B87,New_Raw!$B$7:$M$55,New_Raw!M$1,FALSE)</f>
        <v>2020</v>
      </c>
      <c r="I87" s="53">
        <f>1-VLOOKUP($B87,New_Raw!$B$7:$M$55,New_Raw!J$1,FALSE)</f>
        <v>0.99539999999999995</v>
      </c>
      <c r="J87" s="49">
        <v>50</v>
      </c>
      <c r="K87" s="37"/>
      <c r="L87" s="57">
        <f>VLOOKUP($B87,New_Raw!$B$7:$M$55,New_Raw!G$1,FALSE)</f>
        <v>654.4685901476397</v>
      </c>
      <c r="M87" s="36" t="str">
        <f>""</f>
        <v/>
      </c>
      <c r="N87" s="50" t="str">
        <f>N82</f>
        <v>DTG1</v>
      </c>
      <c r="O87" s="72">
        <v>-1</v>
      </c>
    </row>
    <row r="88" spans="2:15" x14ac:dyDescent="0.25">
      <c r="B88" s="2"/>
      <c r="C88" s="2"/>
      <c r="D88" s="2"/>
      <c r="E88" s="58"/>
      <c r="F88" s="58"/>
      <c r="G88" s="105"/>
      <c r="H88" s="58"/>
      <c r="I88" s="60"/>
      <c r="J88" s="58"/>
      <c r="K88" s="2"/>
      <c r="L88" s="61"/>
      <c r="M88" s="2"/>
      <c r="N88" s="59"/>
    </row>
    <row r="90" spans="2:15" ht="26.25" thickBot="1" x14ac:dyDescent="0.3">
      <c r="B90" s="16" t="str">
        <f>New_Raw!C44</f>
        <v>OMVS</v>
      </c>
      <c r="C90" s="17" t="s">
        <v>29</v>
      </c>
      <c r="D90" s="17" t="s">
        <v>30</v>
      </c>
      <c r="E90" s="17" t="s">
        <v>39</v>
      </c>
      <c r="F90" s="17" t="s">
        <v>29</v>
      </c>
      <c r="G90" s="101" t="s">
        <v>45</v>
      </c>
      <c r="H90" s="62" t="s">
        <v>31</v>
      </c>
      <c r="I90" s="17" t="s">
        <v>32</v>
      </c>
      <c r="J90" s="18" t="s">
        <v>33</v>
      </c>
      <c r="K90" s="17" t="s">
        <v>34</v>
      </c>
      <c r="L90" s="17" t="s">
        <v>35</v>
      </c>
      <c r="M90" s="17" t="s">
        <v>36</v>
      </c>
      <c r="N90" s="17" t="s">
        <v>92</v>
      </c>
      <c r="O90" s="17" t="s">
        <v>79</v>
      </c>
    </row>
    <row r="91" spans="2:15" ht="15.75" thickTop="1" x14ac:dyDescent="0.25">
      <c r="B91" s="19" t="s">
        <v>38</v>
      </c>
      <c r="C91" s="19" t="s">
        <v>39</v>
      </c>
      <c r="D91" s="19" t="s">
        <v>39</v>
      </c>
      <c r="E91" s="19" t="s">
        <v>76</v>
      </c>
      <c r="F91" s="19" t="s">
        <v>40</v>
      </c>
      <c r="G91" s="102" t="s">
        <v>40</v>
      </c>
      <c r="H91" s="63"/>
      <c r="I91" s="19" t="s">
        <v>41</v>
      </c>
      <c r="J91" s="20"/>
      <c r="K91" s="19" t="s">
        <v>42</v>
      </c>
      <c r="L91" s="19" t="s">
        <v>7</v>
      </c>
      <c r="M91" s="19" t="s">
        <v>7</v>
      </c>
      <c r="N91" s="19"/>
      <c r="O91" s="19"/>
    </row>
    <row r="92" spans="2:15" x14ac:dyDescent="0.25">
      <c r="B92" s="21" t="str">
        <f>New_Raw!A45</f>
        <v>ELNUOMVGMAwSEw</v>
      </c>
      <c r="C92" s="22" t="str">
        <f>"Electricity/Secondary/"&amp;VLOOKUP($B92,New_Raw!$A$7:$M$55,New_Raw!C$2,FALSE)</f>
        <v>Electricity/Secondary/MAw</v>
      </c>
      <c r="D92" s="21" t="str">
        <f>"Electricity/Secondary/"&amp;VLOOKUP($B92,New_Raw!$A$7:$M$55,New_Raw!D$2,FALSE)</f>
        <v>Electricity/Secondary/SEw</v>
      </c>
      <c r="E92" s="45" t="s">
        <v>59</v>
      </c>
      <c r="F92" s="45">
        <v>1</v>
      </c>
      <c r="G92" s="103">
        <f>1-VLOOKUP($B92,New_Raw!$A$7:$M$55,New_Raw!I$2,FALSE)</f>
        <v>0.9707210314527388</v>
      </c>
      <c r="H92" s="66">
        <f>VLOOKUP($B92,New_Raw!$A$7:$M$55,New_Raw!M$2,FALSE)</f>
        <v>2020</v>
      </c>
      <c r="I92" s="51">
        <f>1-VLOOKUP($B92,New_Raw!$A$7:$M$55,New_Raw!J$2,FALSE)</f>
        <v>0.99539999999999995</v>
      </c>
      <c r="J92" s="45">
        <v>50</v>
      </c>
      <c r="K92" s="74">
        <f>VLOOKUP($B92,New_Raw!$A$7:$M$55,New_Raw!L$2,FALSE)</f>
        <v>299.7</v>
      </c>
      <c r="L92" s="55">
        <f>VLOOKUP($B92,New_Raw!$A$7:$M$55,New_Raw!G$2,FALSE)</f>
        <v>329.0626122073046</v>
      </c>
      <c r="M92" s="21" t="str">
        <f>""</f>
        <v/>
      </c>
      <c r="N92" s="24" t="str">
        <f>MID(B92,5,1)&amp;MID(B92,9,1)&amp;MID(B92,12,1)&amp;"1"</f>
        <v>OMS1</v>
      </c>
      <c r="O92" s="70">
        <v>1</v>
      </c>
    </row>
    <row r="93" spans="2:15" x14ac:dyDescent="0.25">
      <c r="B93" s="36"/>
      <c r="C93" s="37"/>
      <c r="D93" s="36"/>
      <c r="E93" s="49"/>
      <c r="F93" s="49"/>
      <c r="G93" s="104"/>
      <c r="H93" s="42"/>
      <c r="I93" s="53"/>
      <c r="J93" s="49"/>
      <c r="K93" s="76"/>
      <c r="L93" s="49"/>
      <c r="M93" s="36"/>
      <c r="N93" s="50"/>
      <c r="O93" s="72"/>
    </row>
    <row r="95" spans="2:15" ht="26.25" thickBot="1" x14ac:dyDescent="0.3">
      <c r="B95" s="16" t="str">
        <f>B90&amp;" (Reverse)"</f>
        <v>OMVS (Reverse)</v>
      </c>
      <c r="C95" s="17" t="s">
        <v>29</v>
      </c>
      <c r="D95" s="17" t="s">
        <v>30</v>
      </c>
      <c r="E95" s="17" t="s">
        <v>39</v>
      </c>
      <c r="F95" s="17" t="s">
        <v>29</v>
      </c>
      <c r="G95" s="101" t="s">
        <v>45</v>
      </c>
      <c r="H95" s="62" t="s">
        <v>31</v>
      </c>
      <c r="I95" s="17" t="s">
        <v>32</v>
      </c>
      <c r="J95" s="18" t="s">
        <v>33</v>
      </c>
      <c r="K95" s="17" t="s">
        <v>34</v>
      </c>
      <c r="L95" s="17" t="s">
        <v>35</v>
      </c>
      <c r="M95" s="17" t="s">
        <v>36</v>
      </c>
      <c r="N95" s="17" t="s">
        <v>92</v>
      </c>
      <c r="O95" s="17" t="s">
        <v>79</v>
      </c>
    </row>
    <row r="96" spans="2:15" ht="15.75" thickTop="1" x14ac:dyDescent="0.25">
      <c r="B96" s="19" t="s">
        <v>38</v>
      </c>
      <c r="C96" s="19" t="s">
        <v>39</v>
      </c>
      <c r="D96" s="19" t="s">
        <v>39</v>
      </c>
      <c r="E96" s="19" t="s">
        <v>76</v>
      </c>
      <c r="F96" s="19" t="s">
        <v>40</v>
      </c>
      <c r="G96" s="102" t="s">
        <v>40</v>
      </c>
      <c r="H96" s="63"/>
      <c r="I96" s="19" t="s">
        <v>41</v>
      </c>
      <c r="J96" s="20"/>
      <c r="K96" s="19" t="s">
        <v>42</v>
      </c>
      <c r="L96" s="19" t="s">
        <v>7</v>
      </c>
      <c r="M96" s="19" t="s">
        <v>7</v>
      </c>
      <c r="N96" s="19"/>
      <c r="O96" s="19"/>
    </row>
    <row r="97" spans="2:15" x14ac:dyDescent="0.25">
      <c r="B97" s="21" t="str">
        <f>New_Raw!B45</f>
        <v>ELNUOMVSSEwMAw</v>
      </c>
      <c r="C97" s="22" t="str">
        <f>"Electricity/Secondary/"&amp;VLOOKUP($B97,New_Raw!$B$7:$M$55,New_Raw!D$1,FALSE)</f>
        <v>Electricity/Secondary/SEw</v>
      </c>
      <c r="D97" s="21" t="str">
        <f>"Electricity/Secondary/"&amp;VLOOKUP($B97,New_Raw!$B$7:$M$55,New_Raw!C$1,FALSE)</f>
        <v>Electricity/Secondary/MAw</v>
      </c>
      <c r="E97" s="45" t="s">
        <v>60</v>
      </c>
      <c r="F97" s="45">
        <v>1</v>
      </c>
      <c r="G97" s="103">
        <f>1-VLOOKUP($B97,New_Raw!$B$7:$M$55,New_Raw!I$1,FALSE)</f>
        <v>0.9707210314527388</v>
      </c>
      <c r="H97" s="66">
        <f>VLOOKUP($B97,New_Raw!$B$7:$M$55,New_Raw!M$1,FALSE)</f>
        <v>2020</v>
      </c>
      <c r="I97" s="51">
        <f>1-VLOOKUP($B97,New_Raw!$B$7:$M$55,New_Raw!J$1,FALSE)</f>
        <v>0.99539999999999995</v>
      </c>
      <c r="J97" s="45">
        <v>50</v>
      </c>
      <c r="K97" s="22"/>
      <c r="L97" s="55">
        <f>VLOOKUP($B97,New_Raw!$B$7:$M$55,New_Raw!G$1,FALSE)</f>
        <v>329.0626122073046</v>
      </c>
      <c r="M97" s="21" t="str">
        <f>""</f>
        <v/>
      </c>
      <c r="N97" s="24" t="str">
        <f>N92</f>
        <v>OMS1</v>
      </c>
      <c r="O97" s="70">
        <v>-1</v>
      </c>
    </row>
    <row r="98" spans="2:15" x14ac:dyDescent="0.25">
      <c r="B98" s="36"/>
      <c r="C98" s="37"/>
      <c r="D98" s="36"/>
      <c r="E98" s="49"/>
      <c r="F98" s="49"/>
      <c r="G98" s="104"/>
      <c r="H98" s="42"/>
      <c r="I98" s="53"/>
      <c r="J98" s="49"/>
      <c r="K98" s="37"/>
      <c r="L98" s="57"/>
      <c r="M98" s="36"/>
      <c r="N98" s="50"/>
      <c r="O98" s="72"/>
    </row>
    <row r="101" spans="2:15" ht="26.25" thickBot="1" x14ac:dyDescent="0.3">
      <c r="B101" s="16" t="str">
        <f>New_Raw!C47</f>
        <v>Liberia Cote d'Ivoire</v>
      </c>
      <c r="C101" s="17" t="s">
        <v>29</v>
      </c>
      <c r="D101" s="17" t="s">
        <v>30</v>
      </c>
      <c r="E101" s="17" t="s">
        <v>39</v>
      </c>
      <c r="F101" s="17" t="s">
        <v>29</v>
      </c>
      <c r="G101" s="101" t="s">
        <v>45</v>
      </c>
      <c r="H101" s="62" t="s">
        <v>31</v>
      </c>
      <c r="I101" s="17" t="s">
        <v>32</v>
      </c>
      <c r="J101" s="18" t="s">
        <v>33</v>
      </c>
      <c r="K101" s="17" t="s">
        <v>34</v>
      </c>
      <c r="L101" s="17" t="s">
        <v>35</v>
      </c>
      <c r="M101" s="17" t="s">
        <v>36</v>
      </c>
      <c r="N101" s="17" t="s">
        <v>92</v>
      </c>
      <c r="O101" s="17" t="s">
        <v>79</v>
      </c>
    </row>
    <row r="102" spans="2:15" ht="15.75" thickTop="1" x14ac:dyDescent="0.25">
      <c r="B102" s="19" t="s">
        <v>38</v>
      </c>
      <c r="C102" s="19" t="s">
        <v>39</v>
      </c>
      <c r="D102" s="19" t="s">
        <v>39</v>
      </c>
      <c r="E102" s="19" t="s">
        <v>76</v>
      </c>
      <c r="F102" s="19" t="s">
        <v>40</v>
      </c>
      <c r="G102" s="102" t="s">
        <v>40</v>
      </c>
      <c r="H102" s="63"/>
      <c r="I102" s="19" t="s">
        <v>41</v>
      </c>
      <c r="J102" s="20"/>
      <c r="K102" s="19" t="s">
        <v>42</v>
      </c>
      <c r="L102" s="19" t="s">
        <v>7</v>
      </c>
      <c r="M102" s="19" t="s">
        <v>7</v>
      </c>
      <c r="N102" s="19"/>
      <c r="O102" s="19"/>
    </row>
    <row r="103" spans="2:15" x14ac:dyDescent="0.25">
      <c r="B103" s="21" t="str">
        <f>New_Raw!A48</f>
        <v>ELNULICILIwCIw</v>
      </c>
      <c r="C103" s="22" t="str">
        <f>"Electricity/Secondary/"&amp;VLOOKUP($B103,New_Raw!$A$7:$M$55,New_Raw!C$2,FALSE)</f>
        <v>Electricity/Secondary/LIw</v>
      </c>
      <c r="D103" s="21" t="str">
        <f>"Electricity/Secondary/"&amp;VLOOKUP($B103,New_Raw!$A$7:$M$55,New_Raw!D$2,FALSE)</f>
        <v>Electricity/Secondary/CIw</v>
      </c>
      <c r="E103" s="45" t="s">
        <v>77</v>
      </c>
      <c r="F103" s="45">
        <v>1</v>
      </c>
      <c r="G103" s="103">
        <f>1-VLOOKUP($B103,New_Raw!$A$7:$M$55,New_Raw!I$2,FALSE)</f>
        <v>0.9707210314527388</v>
      </c>
      <c r="H103" s="66">
        <f>VLOOKUP($B103,New_Raw!$A$7:$M$55,New_Raw!M$2,FALSE)</f>
        <v>2020</v>
      </c>
      <c r="I103" s="51">
        <f>1-VLOOKUP($B103,New_Raw!$A$7:$M$55,New_Raw!J$2,FALSE)</f>
        <v>0.99539999999999995</v>
      </c>
      <c r="J103" s="45">
        <v>50</v>
      </c>
      <c r="K103" s="74">
        <f>VLOOKUP($B103,New_Raw!$A$7:$M$55,New_Raw!L$2,FALSE)</f>
        <v>299.7</v>
      </c>
      <c r="L103" s="55">
        <f>VLOOKUP($B103,New_Raw!$A$7:$M$55,New_Raw!G$2,FALSE)</f>
        <v>329.0626122073046</v>
      </c>
      <c r="M103" s="21" t="str">
        <f>""</f>
        <v/>
      </c>
      <c r="N103" s="24" t="str">
        <f>MID(B103,5,1)&amp;MID(B103,9,1)&amp;MID(B103,12,1)&amp;"1"</f>
        <v>LLC1</v>
      </c>
      <c r="O103" s="70">
        <v>1</v>
      </c>
    </row>
    <row r="104" spans="2:15" x14ac:dyDescent="0.25">
      <c r="B104" s="36"/>
      <c r="C104" s="37"/>
      <c r="D104" s="36"/>
      <c r="E104" s="49"/>
      <c r="F104" s="49"/>
      <c r="G104" s="104"/>
      <c r="H104" s="42"/>
      <c r="I104" s="53"/>
      <c r="J104" s="49"/>
      <c r="K104" s="76"/>
      <c r="L104" s="49"/>
      <c r="M104" s="36"/>
      <c r="N104" s="50"/>
      <c r="O104" s="72"/>
    </row>
    <row r="106" spans="2:15" ht="26.25" thickBot="1" x14ac:dyDescent="0.3">
      <c r="B106" s="16" t="str">
        <f>B101&amp;" (Reverse)"</f>
        <v>Liberia Cote d'Ivoire (Reverse)</v>
      </c>
      <c r="C106" s="17" t="s">
        <v>29</v>
      </c>
      <c r="D106" s="17" t="s">
        <v>30</v>
      </c>
      <c r="E106" s="17" t="s">
        <v>39</v>
      </c>
      <c r="F106" s="17" t="s">
        <v>29</v>
      </c>
      <c r="G106" s="101" t="s">
        <v>45</v>
      </c>
      <c r="H106" s="62" t="s">
        <v>31</v>
      </c>
      <c r="I106" s="17" t="s">
        <v>32</v>
      </c>
      <c r="J106" s="18" t="s">
        <v>33</v>
      </c>
      <c r="K106" s="17" t="s">
        <v>34</v>
      </c>
      <c r="L106" s="17" t="s">
        <v>35</v>
      </c>
      <c r="M106" s="17" t="s">
        <v>36</v>
      </c>
      <c r="N106" s="17" t="s">
        <v>92</v>
      </c>
      <c r="O106" s="17" t="s">
        <v>79</v>
      </c>
    </row>
    <row r="107" spans="2:15" ht="15.75" thickTop="1" x14ac:dyDescent="0.25">
      <c r="B107" s="19" t="s">
        <v>38</v>
      </c>
      <c r="C107" s="19" t="s">
        <v>39</v>
      </c>
      <c r="D107" s="19" t="s">
        <v>39</v>
      </c>
      <c r="E107" s="19" t="s">
        <v>76</v>
      </c>
      <c r="F107" s="19" t="s">
        <v>40</v>
      </c>
      <c r="G107" s="102" t="s">
        <v>40</v>
      </c>
      <c r="H107" s="63"/>
      <c r="I107" s="19" t="s">
        <v>41</v>
      </c>
      <c r="J107" s="20"/>
      <c r="K107" s="19" t="s">
        <v>42</v>
      </c>
      <c r="L107" s="19" t="s">
        <v>7</v>
      </c>
      <c r="M107" s="19" t="s">
        <v>7</v>
      </c>
      <c r="N107" s="19"/>
      <c r="O107" s="19"/>
    </row>
    <row r="108" spans="2:15" x14ac:dyDescent="0.25">
      <c r="B108" s="21" t="str">
        <f>New_Raw!B48</f>
        <v>ELNULICICIwLIw</v>
      </c>
      <c r="C108" s="22" t="str">
        <f>"Electricity/Secondary/"&amp;VLOOKUP($B108,New_Raw!$B$7:$M$55,New_Raw!D$1,FALSE)</f>
        <v>Electricity/Secondary/CIw</v>
      </c>
      <c r="D108" s="21" t="str">
        <f>"Electricity/Secondary/"&amp;VLOOKUP($B108,New_Raw!$B$7:$M$55,New_Raw!C$1,FALSE)</f>
        <v>Electricity/Secondary/LIw</v>
      </c>
      <c r="E108" s="45" t="s">
        <v>258</v>
      </c>
      <c r="F108" s="45">
        <v>1</v>
      </c>
      <c r="G108" s="103">
        <f>1-VLOOKUP($B108,New_Raw!$B$7:$M$55,New_Raw!I$1,FALSE)</f>
        <v>0.9707210314527388</v>
      </c>
      <c r="H108" s="66">
        <f>VLOOKUP($B108,New_Raw!$B$7:$M$55,New_Raw!M$1,FALSE)</f>
        <v>2020</v>
      </c>
      <c r="I108" s="51">
        <f>1-VLOOKUP($B108,New_Raw!$B$7:$M$55,New_Raw!J$1,FALSE)</f>
        <v>0.99539999999999995</v>
      </c>
      <c r="J108" s="45">
        <v>50</v>
      </c>
      <c r="K108" s="22"/>
      <c r="L108" s="55">
        <f>VLOOKUP($B108,New_Raw!$B$7:$M$55,New_Raw!G$1,FALSE)</f>
        <v>329.0626122073046</v>
      </c>
      <c r="M108" s="21" t="str">
        <f>""</f>
        <v/>
      </c>
      <c r="N108" s="24" t="str">
        <f>N103</f>
        <v>LLC1</v>
      </c>
      <c r="O108" s="70">
        <v>-1</v>
      </c>
    </row>
    <row r="109" spans="2:15" x14ac:dyDescent="0.25">
      <c r="B109" s="36"/>
      <c r="C109" s="37"/>
      <c r="D109" s="36"/>
      <c r="E109" s="49"/>
      <c r="F109" s="49"/>
      <c r="G109" s="104"/>
      <c r="H109" s="42"/>
      <c r="I109" s="53"/>
      <c r="J109" s="49"/>
      <c r="K109" s="37"/>
      <c r="L109" s="57"/>
      <c r="M109" s="36"/>
      <c r="N109" s="50"/>
      <c r="O109" s="72"/>
    </row>
    <row r="112" spans="2:15" ht="26.25" thickBot="1" x14ac:dyDescent="0.3">
      <c r="B112" s="16" t="str">
        <f>New_Raw!C50</f>
        <v>Nigeria Benin Reinforcement</v>
      </c>
      <c r="C112" s="17" t="s">
        <v>29</v>
      </c>
      <c r="D112" s="17" t="s">
        <v>30</v>
      </c>
      <c r="E112" s="17" t="s">
        <v>39</v>
      </c>
      <c r="F112" s="17" t="s">
        <v>29</v>
      </c>
      <c r="G112" s="101" t="s">
        <v>45</v>
      </c>
      <c r="H112" s="62" t="s">
        <v>31</v>
      </c>
      <c r="I112" s="17" t="s">
        <v>32</v>
      </c>
      <c r="J112" s="18" t="s">
        <v>33</v>
      </c>
      <c r="K112" s="17" t="s">
        <v>34</v>
      </c>
      <c r="L112" s="17" t="s">
        <v>35</v>
      </c>
      <c r="M112" s="17" t="s">
        <v>36</v>
      </c>
      <c r="N112" s="17" t="s">
        <v>92</v>
      </c>
      <c r="O112" s="17" t="s">
        <v>79</v>
      </c>
    </row>
    <row r="113" spans="2:15" ht="15.75" thickTop="1" x14ac:dyDescent="0.25">
      <c r="B113" s="19" t="s">
        <v>38</v>
      </c>
      <c r="C113" s="19" t="s">
        <v>39</v>
      </c>
      <c r="D113" s="19" t="s">
        <v>39</v>
      </c>
      <c r="E113" s="19" t="s">
        <v>76</v>
      </c>
      <c r="F113" s="19" t="s">
        <v>40</v>
      </c>
      <c r="G113" s="102" t="s">
        <v>40</v>
      </c>
      <c r="H113" s="63"/>
      <c r="I113" s="19" t="s">
        <v>41</v>
      </c>
      <c r="J113" s="20"/>
      <c r="K113" s="19" t="s">
        <v>42</v>
      </c>
      <c r="L113" s="19" t="s">
        <v>7</v>
      </c>
      <c r="M113" s="19" t="s">
        <v>7</v>
      </c>
      <c r="N113" s="19"/>
      <c r="O113" s="19"/>
    </row>
    <row r="114" spans="2:15" x14ac:dyDescent="0.25">
      <c r="B114" s="21" t="str">
        <f>New_Raw!A51</f>
        <v>ELNUNGTBNGwTBw</v>
      </c>
      <c r="C114" s="22" t="str">
        <f>"Electricity/Secondary/"&amp;VLOOKUP($B114,New_Raw!$A$7:$M$55,New_Raw!C$2,FALSE)</f>
        <v>Electricity/Secondary/NGw</v>
      </c>
      <c r="D114" s="21" t="str">
        <f>"Electricity/Secondary/"&amp;VLOOKUP($B114,New_Raw!$A$7:$M$55,New_Raw!D$2,FALSE)</f>
        <v>Electricity/Secondary/TBw</v>
      </c>
      <c r="E114" s="45" t="s">
        <v>77</v>
      </c>
      <c r="F114" s="45">
        <v>1</v>
      </c>
      <c r="G114" s="103">
        <f>1-VLOOKUP($B114,New_Raw!$A$7:$M$55,New_Raw!I$2,FALSE)</f>
        <v>0.9707210314527388</v>
      </c>
      <c r="H114" s="66">
        <f>VLOOKUP($B114,New_Raw!$A$7:$M$55,New_Raw!M$2,FALSE)</f>
        <v>2016</v>
      </c>
      <c r="I114" s="51">
        <f>1-VLOOKUP($B114,New_Raw!$A$7:$M$55,New_Raw!J$2,FALSE)</f>
        <v>0.99539999999999995</v>
      </c>
      <c r="J114" s="45">
        <v>50</v>
      </c>
      <c r="K114" s="74">
        <f>VLOOKUP($B114,New_Raw!$A$7:$M$55,New_Raw!L$2,FALSE)</f>
        <v>299.7</v>
      </c>
      <c r="L114" s="55">
        <f>VLOOKUP($B114,New_Raw!$A$7:$M$55,New_Raw!G$2,FALSE)</f>
        <v>329.0626122073046</v>
      </c>
      <c r="M114" s="21" t="str">
        <f>""</f>
        <v/>
      </c>
      <c r="N114" s="24" t="str">
        <f>MID(B114,5,1)&amp;MID(B114,9,1)&amp;MID(B114,12,1)&amp;"1"</f>
        <v>NNT1</v>
      </c>
      <c r="O114" s="70">
        <v>1</v>
      </c>
    </row>
    <row r="115" spans="2:15" x14ac:dyDescent="0.25">
      <c r="B115" s="36"/>
      <c r="C115" s="37"/>
      <c r="D115" s="36"/>
      <c r="E115" s="49"/>
      <c r="F115" s="49"/>
      <c r="G115" s="104"/>
      <c r="H115" s="42"/>
      <c r="I115" s="53"/>
      <c r="J115" s="49"/>
      <c r="K115" s="76"/>
      <c r="L115" s="49"/>
      <c r="M115" s="36"/>
      <c r="N115" s="50"/>
      <c r="O115" s="72"/>
    </row>
    <row r="117" spans="2:15" ht="26.25" thickBot="1" x14ac:dyDescent="0.3">
      <c r="B117" s="16" t="str">
        <f>B112&amp;" (Reverse)"</f>
        <v>Nigeria Benin Reinforcement (Reverse)</v>
      </c>
      <c r="C117" s="17" t="s">
        <v>29</v>
      </c>
      <c r="D117" s="17" t="s">
        <v>30</v>
      </c>
      <c r="E117" s="17" t="s">
        <v>39</v>
      </c>
      <c r="F117" s="17" t="s">
        <v>29</v>
      </c>
      <c r="G117" s="101" t="s">
        <v>45</v>
      </c>
      <c r="H117" s="62" t="s">
        <v>31</v>
      </c>
      <c r="I117" s="17" t="s">
        <v>32</v>
      </c>
      <c r="J117" s="18" t="s">
        <v>33</v>
      </c>
      <c r="K117" s="17" t="s">
        <v>34</v>
      </c>
      <c r="L117" s="17" t="s">
        <v>35</v>
      </c>
      <c r="M117" s="17" t="s">
        <v>36</v>
      </c>
      <c r="N117" s="17" t="s">
        <v>92</v>
      </c>
      <c r="O117" s="17" t="s">
        <v>79</v>
      </c>
    </row>
    <row r="118" spans="2:15" ht="15.75" thickTop="1" x14ac:dyDescent="0.25">
      <c r="B118" s="19" t="s">
        <v>38</v>
      </c>
      <c r="C118" s="19" t="s">
        <v>39</v>
      </c>
      <c r="D118" s="19" t="s">
        <v>39</v>
      </c>
      <c r="E118" s="19" t="s">
        <v>76</v>
      </c>
      <c r="F118" s="19" t="s">
        <v>40</v>
      </c>
      <c r="G118" s="102" t="s">
        <v>40</v>
      </c>
      <c r="H118" s="63"/>
      <c r="I118" s="19" t="s">
        <v>41</v>
      </c>
      <c r="J118" s="20"/>
      <c r="K118" s="19" t="s">
        <v>42</v>
      </c>
      <c r="L118" s="19" t="s">
        <v>7</v>
      </c>
      <c r="M118" s="19" t="s">
        <v>7</v>
      </c>
      <c r="N118" s="19"/>
      <c r="O118" s="19"/>
    </row>
    <row r="119" spans="2:15" x14ac:dyDescent="0.25">
      <c r="B119" s="21" t="str">
        <f>New_Raw!B51</f>
        <v>ELNUNGTBTBwNGw</v>
      </c>
      <c r="C119" s="22" t="str">
        <f>"Electricity/Secondary/"&amp;VLOOKUP($B119,New_Raw!$B$7:$M$55,New_Raw!D$1,FALSE)</f>
        <v>Electricity/Secondary/TBw</v>
      </c>
      <c r="D119" s="21" t="str">
        <f>"Electricity/Secondary/"&amp;VLOOKUP($B119,New_Raw!$B$7:$M$55,New_Raw!C$1,FALSE)</f>
        <v>Electricity/Secondary/NGw</v>
      </c>
      <c r="E119" s="45" t="s">
        <v>258</v>
      </c>
      <c r="F119" s="45">
        <v>1</v>
      </c>
      <c r="G119" s="103">
        <f>1-VLOOKUP($B119,New_Raw!$B$7:$M$55,New_Raw!I$1,FALSE)</f>
        <v>0.9707210314527388</v>
      </c>
      <c r="H119" s="66">
        <f>VLOOKUP($B119,New_Raw!$B$7:$M$55,New_Raw!M$1,FALSE)</f>
        <v>2016</v>
      </c>
      <c r="I119" s="51">
        <f>1-VLOOKUP($B119,New_Raw!$B$7:$M$55,New_Raw!J$1,FALSE)</f>
        <v>0.99539999999999995</v>
      </c>
      <c r="J119" s="45">
        <v>50</v>
      </c>
      <c r="K119" s="22"/>
      <c r="L119" s="55">
        <f>VLOOKUP($B119,New_Raw!$B$7:$M$55,New_Raw!G$1,FALSE)</f>
        <v>329.0626122073046</v>
      </c>
      <c r="M119" s="21" t="str">
        <f>""</f>
        <v/>
      </c>
      <c r="N119" s="24" t="str">
        <f>N114</f>
        <v>NNT1</v>
      </c>
      <c r="O119" s="70">
        <v>-1</v>
      </c>
    </row>
    <row r="120" spans="2:15" x14ac:dyDescent="0.25">
      <c r="B120" s="36"/>
      <c r="C120" s="37"/>
      <c r="D120" s="36"/>
      <c r="E120" s="49"/>
      <c r="F120" s="49"/>
      <c r="G120" s="104"/>
      <c r="H120" s="42"/>
      <c r="I120" s="53"/>
      <c r="J120" s="49"/>
      <c r="K120" s="37"/>
      <c r="L120" s="57"/>
      <c r="M120" s="36"/>
      <c r="N120" s="50"/>
      <c r="O120" s="7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60"/>
  <sheetViews>
    <sheetView workbookViewId="0"/>
  </sheetViews>
  <sheetFormatPr defaultRowHeight="15" x14ac:dyDescent="0.25"/>
  <cols>
    <col min="2" max="2" width="17.5703125" customWidth="1"/>
    <col min="4" max="4" width="10.42578125" customWidth="1"/>
    <col min="5" max="5" width="9.140625" customWidth="1"/>
  </cols>
  <sheetData>
    <row r="1" spans="1:10" s="73" customFormat="1" x14ac:dyDescent="0.25">
      <c r="J1" s="73" t="str">
        <f>MSG_New!B4</f>
        <v>Dorsale 330 kV</v>
      </c>
    </row>
    <row r="2" spans="1:10" x14ac:dyDescent="0.25">
      <c r="A2" s="69">
        <v>1</v>
      </c>
      <c r="B2" t="s">
        <v>63</v>
      </c>
    </row>
    <row r="3" spans="1:10" x14ac:dyDescent="0.25">
      <c r="B3" t="str">
        <f ca="1">OFFSET(MSG_New!$B$5,A2,0)</f>
        <v>ELNCDorGHwTBw</v>
      </c>
      <c r="C3" t="str">
        <f ca="1">VLOOKUP(B3,MSG_New!$B$6:$O$96,MSG_New!E$1,FALSE)</f>
        <v>i</v>
      </c>
    </row>
    <row r="4" spans="1:10" x14ac:dyDescent="0.25">
      <c r="C4" t="s">
        <v>64</v>
      </c>
      <c r="D4" t="str">
        <f ca="1">VLOOKUP(VLOOKUP(B3,MSG_New!$B$6:$O$96,MSG_New!C$1,FALSE),energyforms!$B$2:$E$14,4,FALSE)</f>
        <v>e-D-GHw</v>
      </c>
      <c r="E4">
        <f ca="1">VLOOKUP(B3,MSG_New!$B$6:$O$96,MSG_New!F$1,FALSE)</f>
        <v>1</v>
      </c>
    </row>
    <row r="5" spans="1:10" x14ac:dyDescent="0.25">
      <c r="C5" t="s">
        <v>65</v>
      </c>
      <c r="D5" t="str">
        <f ca="1">VLOOKUP(VLOOKUP(B3,MSG_New!$B$6:$O$96,MSG_New!D$1,FALSE),energyforms!$B$2:$E$14,4,FALSE)</f>
        <v>e-M-TBw</v>
      </c>
      <c r="E5" t="s">
        <v>52</v>
      </c>
      <c r="F5">
        <f ca="1">VLOOKUP(B3,MSG_New!$B$6:$O$96,MSG_New!G$1,FALSE)</f>
        <v>0.97499999999999998</v>
      </c>
    </row>
    <row r="6" spans="1:10" x14ac:dyDescent="0.25">
      <c r="C6" t="s">
        <v>66</v>
      </c>
      <c r="D6" t="s">
        <v>52</v>
      </c>
      <c r="E6">
        <f ca="1">VLOOKUP(B3,MSG_New!$B$6:$O$96,MSG_New!J$1,FALSE)</f>
        <v>50</v>
      </c>
    </row>
    <row r="7" spans="1:10" x14ac:dyDescent="0.25">
      <c r="C7" t="s">
        <v>67</v>
      </c>
      <c r="D7" t="s">
        <v>52</v>
      </c>
      <c r="E7">
        <f ca="1">ROUND(VLOOKUP(B3,MSG_New!$B$6:$O$96,MSG_New!K$1,FALSE),1)</f>
        <v>137.4</v>
      </c>
    </row>
    <row r="8" spans="1:10" x14ac:dyDescent="0.25">
      <c r="C8" t="s">
        <v>68</v>
      </c>
      <c r="D8" t="s">
        <v>52</v>
      </c>
      <c r="E8">
        <f ca="1">VLOOKUP(B3,MSG_New!$B$6:$O$96,MSG_New!I$1,FALSE)</f>
        <v>0.99560000000000004</v>
      </c>
    </row>
    <row r="9" spans="1:10" x14ac:dyDescent="0.25">
      <c r="C9" t="s">
        <v>69</v>
      </c>
      <c r="D9" t="s">
        <v>80</v>
      </c>
      <c r="E9" t="s">
        <v>75</v>
      </c>
      <c r="F9" t="str">
        <f ca="1">VLOOKUP(B3,MSG_New!$B$6:$O$96,MSG_New!N$1,FALSE)</f>
        <v>0 0 0 655 0 0 0 0 0 0 0 0</v>
      </c>
    </row>
    <row r="10" spans="1:10" x14ac:dyDescent="0.25">
      <c r="B10" t="s">
        <v>71</v>
      </c>
    </row>
    <row r="11" spans="1:10" x14ac:dyDescent="0.25">
      <c r="A11" s="69">
        <f>A2+1</f>
        <v>2</v>
      </c>
      <c r="B11" t="s">
        <v>63</v>
      </c>
    </row>
    <row r="12" spans="1:10" x14ac:dyDescent="0.25">
      <c r="B12" t="str">
        <f ca="1">OFFSET(MSG_New!$B$5,A11,0)</f>
        <v>ELNCDorCIwGHw</v>
      </c>
      <c r="C12" t="str">
        <f ca="1">VLOOKUP(B12,MSG_New!$B$6:$O$96,MSG_New!E$1,FALSE)</f>
        <v>i</v>
      </c>
    </row>
    <row r="13" spans="1:10" x14ac:dyDescent="0.25">
      <c r="C13" t="s">
        <v>64</v>
      </c>
      <c r="D13" t="str">
        <f ca="1">VLOOKUP(VLOOKUP(B12,MSG_New!$B$6:$O$96,MSG_New!C$1,FALSE),energyforms!$B$2:$E$14,4,FALSE)</f>
        <v>e-B-CIw</v>
      </c>
      <c r="E13">
        <f ca="1">VLOOKUP(B12,MSG_New!$B$6:$O$96,MSG_New!F$1,FALSE)</f>
        <v>1</v>
      </c>
    </row>
    <row r="14" spans="1:10" x14ac:dyDescent="0.25">
      <c r="C14" t="s">
        <v>65</v>
      </c>
      <c r="D14" t="str">
        <f ca="1">VLOOKUP(VLOOKUP(B12,MSG_New!$B$6:$O$96,MSG_New!D$1,FALSE),energyforms!$B$2:$E$14,4,FALSE)</f>
        <v>e-D-GHw</v>
      </c>
      <c r="E14" t="s">
        <v>52</v>
      </c>
      <c r="F14">
        <f ca="1">VLOOKUP(B12,MSG_New!$B$6:$O$96,MSG_New!G$1,FALSE)</f>
        <v>0.98</v>
      </c>
    </row>
    <row r="15" spans="1:10" x14ac:dyDescent="0.25">
      <c r="C15" t="s">
        <v>66</v>
      </c>
      <c r="D15" t="s">
        <v>52</v>
      </c>
      <c r="E15">
        <f ca="1">VLOOKUP(B12,MSG_New!$B$6:$O$96,MSG_New!J$1,FALSE)</f>
        <v>50</v>
      </c>
    </row>
    <row r="16" spans="1:10" x14ac:dyDescent="0.25">
      <c r="C16" t="s">
        <v>67</v>
      </c>
      <c r="D16" t="s">
        <v>52</v>
      </c>
      <c r="E16">
        <f ca="1">ROUND(VLOOKUP(B12,MSG_New!$B$6:$O$96,MSG_New!K$1,FALSE),1)</f>
        <v>137.4</v>
      </c>
    </row>
    <row r="17" spans="1:6" x14ac:dyDescent="0.25">
      <c r="C17" t="s">
        <v>68</v>
      </c>
      <c r="D17" t="s">
        <v>52</v>
      </c>
      <c r="E17">
        <f ca="1">VLOOKUP(B12,MSG_New!$B$6:$O$96,MSG_New!I$1,FALSE)</f>
        <v>0.99560000000000004</v>
      </c>
    </row>
    <row r="18" spans="1:6" x14ac:dyDescent="0.25">
      <c r="C18" t="s">
        <v>69</v>
      </c>
      <c r="D18" t="s">
        <v>80</v>
      </c>
      <c r="E18" t="s">
        <v>75</v>
      </c>
      <c r="F18" t="str">
        <f ca="1">VLOOKUP(B12,MSG_New!$B$6:$O$96,MSG_New!N$1,FALSE)</f>
        <v>0 0 0 0 0 0 0 655 0 0 0 0</v>
      </c>
    </row>
    <row r="19" spans="1:6" x14ac:dyDescent="0.25">
      <c r="B19" t="s">
        <v>71</v>
      </c>
    </row>
    <row r="20" spans="1:6" x14ac:dyDescent="0.25">
      <c r="A20" s="77">
        <f>A11+4</f>
        <v>6</v>
      </c>
      <c r="B20" t="s">
        <v>63</v>
      </c>
    </row>
    <row r="21" spans="1:6" x14ac:dyDescent="0.25">
      <c r="B21" t="str">
        <f ca="1">OFFSET(MSG_New!$B$5,A20,0)</f>
        <v>ELNCDorTBwGHw</v>
      </c>
      <c r="C21" t="str">
        <f ca="1">VLOOKUP(B21,MSG_New!$B$6:$O$96,MSG_New!E$1,FALSE)</f>
        <v>j</v>
      </c>
    </row>
    <row r="22" spans="1:6" x14ac:dyDescent="0.25">
      <c r="C22" t="s">
        <v>64</v>
      </c>
      <c r="D22" t="str">
        <f ca="1">VLOOKUP(VLOOKUP(B21,MSG_New!$B$6:$O$96,MSG_New!C$1,FALSE),energyforms!$B$2:$E$14,4,FALSE)</f>
        <v>e-M-TBw</v>
      </c>
      <c r="E22">
        <f ca="1">VLOOKUP(B21,MSG_New!$B$6:$O$96,MSG_New!F$1,FALSE)</f>
        <v>1</v>
      </c>
    </row>
    <row r="23" spans="1:6" x14ac:dyDescent="0.25">
      <c r="C23" t="s">
        <v>65</v>
      </c>
      <c r="D23" t="str">
        <f ca="1">VLOOKUP(VLOOKUP(B21,MSG_New!$B$6:$O$96,MSG_New!D$1,FALSE),energyforms!$B$2:$E$14,4,FALSE)</f>
        <v>e-D-GHw</v>
      </c>
      <c r="E23" t="s">
        <v>52</v>
      </c>
      <c r="F23">
        <f ca="1">VLOOKUP(B21,MSG_New!$B$6:$O$96,MSG_New!G$1,FALSE)</f>
        <v>0.97499999999999998</v>
      </c>
    </row>
    <row r="24" spans="1:6" x14ac:dyDescent="0.25">
      <c r="C24" t="s">
        <v>66</v>
      </c>
      <c r="D24" t="s">
        <v>52</v>
      </c>
      <c r="E24">
        <f ca="1">VLOOKUP(B21,MSG_New!$B$6:$O$96,MSG_New!J$1,FALSE)</f>
        <v>50</v>
      </c>
    </row>
    <row r="25" spans="1:6" x14ac:dyDescent="0.25">
      <c r="C25" t="s">
        <v>67</v>
      </c>
      <c r="D25" t="s">
        <v>52</v>
      </c>
      <c r="E25">
        <f ca="1">VLOOKUP(B21,MSG_New!$B$6:$O$96,MSG_New!K$1,FALSE)</f>
        <v>0</v>
      </c>
    </row>
    <row r="26" spans="1:6" x14ac:dyDescent="0.25">
      <c r="C26" t="s">
        <v>68</v>
      </c>
      <c r="D26" t="s">
        <v>52</v>
      </c>
      <c r="E26">
        <f ca="1">VLOOKUP(B21,MSG_New!$B$6:$O$96,MSG_New!I$1,FALSE)</f>
        <v>0.99560000000000004</v>
      </c>
    </row>
    <row r="27" spans="1:6" x14ac:dyDescent="0.25">
      <c r="C27" t="s">
        <v>69</v>
      </c>
      <c r="D27" t="s">
        <v>80</v>
      </c>
      <c r="E27" t="s">
        <v>75</v>
      </c>
      <c r="F27" t="str">
        <f ca="1">VLOOKUP(B21,MSG_New!$B$6:$O$96,MSG_New!N$1,FALSE)</f>
        <v>0 0 0 655 0 0 0 0 0 0 0 0</v>
      </c>
    </row>
    <row r="28" spans="1:6" x14ac:dyDescent="0.25">
      <c r="B28" t="s">
        <v>71</v>
      </c>
    </row>
    <row r="29" spans="1:6" x14ac:dyDescent="0.25">
      <c r="A29" s="69">
        <f>A20+1</f>
        <v>7</v>
      </c>
      <c r="B29" t="s">
        <v>63</v>
      </c>
    </row>
    <row r="30" spans="1:6" x14ac:dyDescent="0.25">
      <c r="B30" t="str">
        <f ca="1">OFFSET(MSG_New!$B$5,A29,0)</f>
        <v>ELNCDorGHwCIw</v>
      </c>
      <c r="C30" t="str">
        <f ca="1">VLOOKUP(B30,MSG_New!$B$6:$O$96,MSG_New!E$1,FALSE)</f>
        <v>i</v>
      </c>
    </row>
    <row r="31" spans="1:6" x14ac:dyDescent="0.25">
      <c r="C31" t="s">
        <v>64</v>
      </c>
      <c r="D31" t="str">
        <f ca="1">VLOOKUP(VLOOKUP(B30,MSG_New!$B$6:$O$96,MSG_New!C$1,FALSE),energyforms!$B$2:$E$14,4,FALSE)</f>
        <v>e-D-GHw</v>
      </c>
      <c r="E31">
        <f ca="1">VLOOKUP(B30,MSG_New!$B$6:$O$96,MSG_New!F$1,FALSE)</f>
        <v>1</v>
      </c>
    </row>
    <row r="32" spans="1:6" x14ac:dyDescent="0.25">
      <c r="C32" t="s">
        <v>65</v>
      </c>
      <c r="D32" t="str">
        <f ca="1">VLOOKUP(VLOOKUP(B30,MSG_New!$B$6:$O$96,MSG_New!D$1,FALSE),energyforms!$B$2:$E$14,4,FALSE)</f>
        <v>e-B-CIw</v>
      </c>
      <c r="E32" t="s">
        <v>52</v>
      </c>
      <c r="F32">
        <f ca="1">VLOOKUP(B30,MSG_New!$B$6:$O$96,MSG_New!G$1,FALSE)</f>
        <v>0.98</v>
      </c>
    </row>
    <row r="33" spans="1:10" x14ac:dyDescent="0.25">
      <c r="C33" t="s">
        <v>66</v>
      </c>
      <c r="D33" t="s">
        <v>52</v>
      </c>
      <c r="E33">
        <f ca="1">VLOOKUP(B30,MSG_New!$B$6:$O$96,MSG_New!J$1,FALSE)</f>
        <v>50</v>
      </c>
    </row>
    <row r="34" spans="1:10" x14ac:dyDescent="0.25">
      <c r="C34" t="s">
        <v>67</v>
      </c>
      <c r="D34" t="s">
        <v>52</v>
      </c>
      <c r="E34">
        <f ca="1">VLOOKUP(B30,MSG_New!$B$6:$O$96,MSG_New!K$1,FALSE)</f>
        <v>0</v>
      </c>
    </row>
    <row r="35" spans="1:10" x14ac:dyDescent="0.25">
      <c r="C35" t="s">
        <v>68</v>
      </c>
      <c r="D35" t="s">
        <v>52</v>
      </c>
      <c r="E35">
        <f ca="1">VLOOKUP(B30,MSG_New!$B$6:$O$96,MSG_New!I$1,FALSE)</f>
        <v>0.99560000000000004</v>
      </c>
    </row>
    <row r="36" spans="1:10" x14ac:dyDescent="0.25">
      <c r="C36" t="s">
        <v>69</v>
      </c>
      <c r="D36" t="s">
        <v>80</v>
      </c>
      <c r="E36" t="s">
        <v>75</v>
      </c>
      <c r="F36" t="str">
        <f ca="1">VLOOKUP(B30,MSG_New!$B$6:$O$96,MSG_New!N$1,FALSE)</f>
        <v>0 0 0 0 0 0 0 655 0 0 0 0</v>
      </c>
    </row>
    <row r="37" spans="1:10" x14ac:dyDescent="0.25">
      <c r="B37" t="s">
        <v>71</v>
      </c>
    </row>
    <row r="38" spans="1:10" s="73" customFormat="1" x14ac:dyDescent="0.25">
      <c r="J38" s="73" t="str">
        <f>MSG_New!B15</f>
        <v>CLSG</v>
      </c>
    </row>
    <row r="39" spans="1:10" s="107" customFormat="1" x14ac:dyDescent="0.25">
      <c r="A39" s="69">
        <f>A29+5</f>
        <v>12</v>
      </c>
      <c r="B39" s="107" t="s">
        <v>63</v>
      </c>
    </row>
    <row r="40" spans="1:10" x14ac:dyDescent="0.25">
      <c r="B40" t="str">
        <f ca="1">OFFSET(MSG_New!$B$5,A39,0)</f>
        <v>ELNCCLSGCIwLIw</v>
      </c>
      <c r="C40" t="str">
        <f ca="1">VLOOKUP(B40,MSG_New!$B$6:$O$96,MSG_New!E$1,FALSE)</f>
        <v>i</v>
      </c>
    </row>
    <row r="41" spans="1:10" x14ac:dyDescent="0.25">
      <c r="C41" t="s">
        <v>64</v>
      </c>
      <c r="D41" t="str">
        <f ca="1">VLOOKUP(VLOOKUP(B40,MSG_New!$B$6:$O$96,MSG_New!C$1,FALSE),energyforms!$B$2:$E$14,4,FALSE)</f>
        <v>e-B-CIw</v>
      </c>
      <c r="E41">
        <f ca="1">VLOOKUP(B40,MSG_New!$B$6:$O$96,MSG_New!F$1,FALSE)</f>
        <v>1</v>
      </c>
    </row>
    <row r="42" spans="1:10" x14ac:dyDescent="0.25">
      <c r="C42" t="s">
        <v>65</v>
      </c>
      <c r="D42" t="str">
        <f ca="1">VLOOKUP(VLOOKUP(B40,MSG_New!$B$6:$O$96,MSG_New!D$1,FALSE),energyforms!$B$2:$E$14,4,FALSE)</f>
        <v>e-G-LIw</v>
      </c>
      <c r="E42" t="s">
        <v>52</v>
      </c>
      <c r="F42">
        <f ca="1">VLOOKUP(B40,MSG_New!$B$6:$O$96,MSG_New!G$1,FALSE)</f>
        <v>0.97499999999999998</v>
      </c>
    </row>
    <row r="43" spans="1:10" x14ac:dyDescent="0.25">
      <c r="C43" t="s">
        <v>66</v>
      </c>
      <c r="D43" t="s">
        <v>52</v>
      </c>
      <c r="E43">
        <f ca="1">VLOOKUP(B40,MSG_New!$B$6:$O$96,MSG_New!J$1,FALSE)</f>
        <v>50</v>
      </c>
    </row>
    <row r="44" spans="1:10" x14ac:dyDescent="0.25">
      <c r="C44" t="s">
        <v>67</v>
      </c>
      <c r="D44" t="s">
        <v>52</v>
      </c>
      <c r="E44">
        <f ca="1">VLOOKUP(B40,MSG_New!$B$6:$O$96,MSG_New!K$1,FALSE)</f>
        <v>176.9</v>
      </c>
    </row>
    <row r="45" spans="1:10" x14ac:dyDescent="0.25">
      <c r="C45" t="s">
        <v>68</v>
      </c>
      <c r="D45" t="s">
        <v>52</v>
      </c>
      <c r="E45">
        <f ca="1">VLOOKUP(B40,MSG_New!$B$6:$O$96,MSG_New!I$1,FALSE)</f>
        <v>0.99739999999999995</v>
      </c>
    </row>
    <row r="46" spans="1:10" x14ac:dyDescent="0.25">
      <c r="C46" t="s">
        <v>69</v>
      </c>
      <c r="D46" t="s">
        <v>80</v>
      </c>
      <c r="E46" t="s">
        <v>75</v>
      </c>
      <c r="F46" t="str">
        <f ca="1">VLOOKUP(B40,MSG_New!$B$6:$O$96,MSG_New!N$1,FALSE)</f>
        <v>0 0 0 0 0 338 0 0 0 0 0 0</v>
      </c>
    </row>
    <row r="47" spans="1:10" x14ac:dyDescent="0.25">
      <c r="B47" t="s">
        <v>71</v>
      </c>
    </row>
    <row r="48" spans="1:10" x14ac:dyDescent="0.25">
      <c r="A48" s="69">
        <f>A39+1</f>
        <v>13</v>
      </c>
      <c r="B48" t="s">
        <v>63</v>
      </c>
    </row>
    <row r="49" spans="1:6" x14ac:dyDescent="0.25">
      <c r="B49" t="str">
        <f ca="1">OFFSET(MSG_New!$B$5,A48,0)</f>
        <v>ELNCCLSGLIwGUw</v>
      </c>
      <c r="C49" t="str">
        <f ca="1">VLOOKUP(B49,MSG_New!$B$6:$O$96,MSG_New!E$1,FALSE)</f>
        <v>i</v>
      </c>
    </row>
    <row r="50" spans="1:6" x14ac:dyDescent="0.25">
      <c r="C50" t="s">
        <v>64</v>
      </c>
      <c r="D50" t="str">
        <f ca="1">VLOOKUP(VLOOKUP(B49,MSG_New!$B$6:$O$96,MSG_New!C$1,FALSE),energyforms!$B$2:$E$14,4,FALSE)</f>
        <v>e-G-LIw</v>
      </c>
      <c r="E50">
        <f ca="1">VLOOKUP(B49,MSG_New!$B$6:$O$96,MSG_New!F$1,FALSE)</f>
        <v>1</v>
      </c>
    </row>
    <row r="51" spans="1:6" x14ac:dyDescent="0.25">
      <c r="C51" t="s">
        <v>65</v>
      </c>
      <c r="D51" t="str">
        <f ca="1">VLOOKUP(VLOOKUP(B49,MSG_New!$B$6:$O$96,MSG_New!D$1,FALSE),energyforms!$B$2:$E$14,4,FALSE)</f>
        <v>e-E-GUw</v>
      </c>
      <c r="E51" t="s">
        <v>52</v>
      </c>
      <c r="F51">
        <f ca="1">VLOOKUP(B49,MSG_New!$B$6:$O$96,MSG_New!G$1,FALSE)</f>
        <v>0.97499999999999998</v>
      </c>
    </row>
    <row r="52" spans="1:6" x14ac:dyDescent="0.25">
      <c r="C52" t="s">
        <v>66</v>
      </c>
      <c r="D52" t="s">
        <v>52</v>
      </c>
      <c r="E52">
        <f ca="1">VLOOKUP(B49,MSG_New!$B$6:$O$96,MSG_New!J$1,FALSE)</f>
        <v>50</v>
      </c>
    </row>
    <row r="53" spans="1:6" x14ac:dyDescent="0.25">
      <c r="C53" t="s">
        <v>67</v>
      </c>
      <c r="D53" t="s">
        <v>52</v>
      </c>
      <c r="E53">
        <f ca="1">VLOOKUP(B49,MSG_New!$B$6:$O$96,MSG_New!K$1,FALSE)</f>
        <v>176.9</v>
      </c>
    </row>
    <row r="54" spans="1:6" x14ac:dyDescent="0.25">
      <c r="C54" t="s">
        <v>68</v>
      </c>
      <c r="D54" t="s">
        <v>52</v>
      </c>
      <c r="E54">
        <f ca="1">VLOOKUP(B49,MSG_New!$B$6:$O$96,MSG_New!I$1,FALSE)</f>
        <v>0.99739999999999995</v>
      </c>
    </row>
    <row r="55" spans="1:6" x14ac:dyDescent="0.25">
      <c r="C55" t="s">
        <v>69</v>
      </c>
      <c r="D55" t="s">
        <v>80</v>
      </c>
      <c r="E55" t="s">
        <v>75</v>
      </c>
      <c r="F55" t="str">
        <f ca="1">VLOOKUP(B49,MSG_New!$B$6:$O$96,MSG_New!N$1,FALSE)</f>
        <v>0 0 0 0 0 338 0 0 0 0 0 0</v>
      </c>
    </row>
    <row r="56" spans="1:6" x14ac:dyDescent="0.25">
      <c r="B56" t="s">
        <v>71</v>
      </c>
    </row>
    <row r="57" spans="1:6" x14ac:dyDescent="0.25">
      <c r="A57" s="69">
        <f>A48+1</f>
        <v>14</v>
      </c>
      <c r="B57" t="s">
        <v>63</v>
      </c>
    </row>
    <row r="58" spans="1:6" x14ac:dyDescent="0.25">
      <c r="B58" t="str">
        <f ca="1">OFFSET(MSG_New!$B$5,A57,0)</f>
        <v>ELNCCLSGLIwSIw</v>
      </c>
      <c r="C58" t="str">
        <f ca="1">VLOOKUP(B58,MSG_New!$B$6:$O$96,MSG_New!E$1,FALSE)</f>
        <v>i</v>
      </c>
    </row>
    <row r="59" spans="1:6" x14ac:dyDescent="0.25">
      <c r="C59" t="s">
        <v>64</v>
      </c>
      <c r="D59" t="str">
        <f ca="1">VLOOKUP(VLOOKUP(B58,MSG_New!$B$6:$O$96,MSG_New!C$1,FALSE),energyforms!$B$2:$E$14,4,FALSE)</f>
        <v>e-G-LIw</v>
      </c>
      <c r="E59">
        <f ca="1">VLOOKUP(B58,MSG_New!$B$6:$O$96,MSG_New!F$1,FALSE)</f>
        <v>1</v>
      </c>
    </row>
    <row r="60" spans="1:6" x14ac:dyDescent="0.25">
      <c r="C60" t="s">
        <v>65</v>
      </c>
      <c r="D60" t="str">
        <f ca="1">VLOOKUP(VLOOKUP(B58,MSG_New!$B$6:$O$96,MSG_New!D$1,FALSE),energyforms!$B$2:$E$14,4,FALSE)</f>
        <v>e-L-SIw</v>
      </c>
      <c r="E60" t="s">
        <v>52</v>
      </c>
      <c r="F60">
        <f ca="1">VLOOKUP(B58,MSG_New!$B$6:$O$96,MSG_New!G$1,FALSE)</f>
        <v>0.93207279297035395</v>
      </c>
    </row>
    <row r="61" spans="1:6" x14ac:dyDescent="0.25">
      <c r="C61" t="s">
        <v>66</v>
      </c>
      <c r="D61" t="s">
        <v>52</v>
      </c>
      <c r="E61">
        <f ca="1">VLOOKUP(B58,MSG_New!$B$6:$O$96,MSG_New!J$1,FALSE)</f>
        <v>50</v>
      </c>
    </row>
    <row r="62" spans="1:6" x14ac:dyDescent="0.25">
      <c r="C62" t="s">
        <v>67</v>
      </c>
      <c r="D62" t="s">
        <v>52</v>
      </c>
      <c r="E62">
        <f ca="1">VLOOKUP(B58,MSG_New!$B$6:$O$96,MSG_New!K$1,FALSE)</f>
        <v>815.6</v>
      </c>
    </row>
    <row r="63" spans="1:6" x14ac:dyDescent="0.25">
      <c r="C63" t="s">
        <v>68</v>
      </c>
      <c r="D63" t="s">
        <v>52</v>
      </c>
      <c r="E63">
        <f ca="1">VLOOKUP(B58,MSG_New!$B$6:$O$96,MSG_New!I$1,FALSE)</f>
        <v>0.98939999999999995</v>
      </c>
    </row>
    <row r="64" spans="1:6" x14ac:dyDescent="0.25">
      <c r="C64" t="s">
        <v>69</v>
      </c>
      <c r="D64" t="s">
        <v>80</v>
      </c>
      <c r="E64" t="s">
        <v>75</v>
      </c>
      <c r="F64" t="str">
        <f ca="1">VLOOKUP(B58,MSG_New!$B$6:$O$96,MSG_New!N$1,FALSE)</f>
        <v>0 0 0 0 0 303 0 0 0 0 0 0</v>
      </c>
    </row>
    <row r="65" spans="1:6" x14ac:dyDescent="0.25">
      <c r="B65" t="s">
        <v>71</v>
      </c>
    </row>
    <row r="66" spans="1:6" x14ac:dyDescent="0.25">
      <c r="A66" s="69">
        <f>A57+1</f>
        <v>15</v>
      </c>
      <c r="B66" t="s">
        <v>63</v>
      </c>
    </row>
    <row r="67" spans="1:6" x14ac:dyDescent="0.25">
      <c r="B67" t="str">
        <f ca="1">OFFSET(MSG_New!$B$5,A66,0)</f>
        <v>ELNCCLSGSIwGUw</v>
      </c>
      <c r="C67" t="str">
        <f ca="1">VLOOKUP(B67,MSG_New!$B$6:$O$96,MSG_New!E$1,FALSE)</f>
        <v>j</v>
      </c>
    </row>
    <row r="68" spans="1:6" x14ac:dyDescent="0.25">
      <c r="C68" t="s">
        <v>64</v>
      </c>
      <c r="D68" t="str">
        <f ca="1">VLOOKUP(VLOOKUP(B67,MSG_New!$B$6:$O$96,MSG_New!C$1,FALSE),energyforms!$B$2:$E$14,4,FALSE)</f>
        <v>e-L-SIw</v>
      </c>
      <c r="E68">
        <f ca="1">VLOOKUP(B67,MSG_New!$B$6:$O$96,MSG_New!F$1,FALSE)</f>
        <v>1</v>
      </c>
    </row>
    <row r="69" spans="1:6" x14ac:dyDescent="0.25">
      <c r="C69" t="s">
        <v>65</v>
      </c>
      <c r="D69" t="str">
        <f ca="1">VLOOKUP(VLOOKUP(B67,MSG_New!$B$6:$O$96,MSG_New!D$1,FALSE),energyforms!$B$2:$E$14,4,FALSE)</f>
        <v>e-E-GUw</v>
      </c>
      <c r="E69" t="s">
        <v>52</v>
      </c>
      <c r="F69">
        <f ca="1">VLOOKUP(B67,MSG_New!$B$6:$O$96,MSG_New!G$1,FALSE)</f>
        <v>0.97499999999999998</v>
      </c>
    </row>
    <row r="70" spans="1:6" x14ac:dyDescent="0.25">
      <c r="C70" t="s">
        <v>66</v>
      </c>
      <c r="D70" t="s">
        <v>52</v>
      </c>
      <c r="E70">
        <f ca="1">VLOOKUP(B67,MSG_New!$B$6:$O$96,MSG_New!J$1,FALSE)</f>
        <v>50</v>
      </c>
    </row>
    <row r="71" spans="1:6" x14ac:dyDescent="0.25">
      <c r="C71" t="s">
        <v>67</v>
      </c>
      <c r="D71" t="s">
        <v>52</v>
      </c>
      <c r="E71">
        <f ca="1">VLOOKUP(B67,MSG_New!$B$6:$O$96,MSG_New!K$1,FALSE)</f>
        <v>242.9</v>
      </c>
    </row>
    <row r="72" spans="1:6" x14ac:dyDescent="0.25">
      <c r="C72" t="s">
        <v>68</v>
      </c>
      <c r="D72" t="s">
        <v>52</v>
      </c>
      <c r="E72">
        <f ca="1">VLOOKUP(B67,MSG_New!$B$6:$O$96,MSG_New!I$1,FALSE)</f>
        <v>0.99650000000000005</v>
      </c>
    </row>
    <row r="73" spans="1:6" x14ac:dyDescent="0.25">
      <c r="C73" t="s">
        <v>69</v>
      </c>
      <c r="D73" t="s">
        <v>80</v>
      </c>
      <c r="E73" t="s">
        <v>75</v>
      </c>
      <c r="F73" t="str">
        <f ca="1">VLOOKUP(B67,MSG_New!$B$6:$O$96,MSG_New!N$1,FALSE)</f>
        <v>0 0 0 0 0 334 0 0 0 0 0 0</v>
      </c>
    </row>
    <row r="74" spans="1:6" x14ac:dyDescent="0.25">
      <c r="B74" t="s">
        <v>71</v>
      </c>
    </row>
    <row r="75" spans="1:6" x14ac:dyDescent="0.25">
      <c r="A75" s="77">
        <f>A66+4</f>
        <v>19</v>
      </c>
      <c r="B75" t="s">
        <v>63</v>
      </c>
    </row>
    <row r="76" spans="1:6" x14ac:dyDescent="0.25">
      <c r="B76" t="str">
        <f ca="1">OFFSET(MSG_New!$B$5,A75,0)</f>
        <v>ELNCCLSGLIwCIw</v>
      </c>
      <c r="C76" t="str">
        <f ca="1">VLOOKUP(B76,MSG_New!$B$6:$O$96,MSG_New!E$1,FALSE)</f>
        <v>j</v>
      </c>
    </row>
    <row r="77" spans="1:6" x14ac:dyDescent="0.25">
      <c r="C77" t="s">
        <v>64</v>
      </c>
      <c r="D77" t="str">
        <f ca="1">VLOOKUP(VLOOKUP(B76,MSG_New!$B$6:$O$96,MSG_New!C$1,FALSE),energyforms!$B$2:$E$14,4,FALSE)</f>
        <v>e-G-LIw</v>
      </c>
      <c r="E77">
        <f ca="1">VLOOKUP(B76,MSG_New!$B$6:$O$96,MSG_New!F$1,FALSE)</f>
        <v>1</v>
      </c>
    </row>
    <row r="78" spans="1:6" x14ac:dyDescent="0.25">
      <c r="C78" t="s">
        <v>65</v>
      </c>
      <c r="D78" t="str">
        <f ca="1">VLOOKUP(VLOOKUP(B76,MSG_New!$B$6:$O$96,MSG_New!D$1,FALSE),energyforms!$B$2:$E$14,4,FALSE)</f>
        <v>e-B-CIw</v>
      </c>
      <c r="E78" t="s">
        <v>52</v>
      </c>
      <c r="F78">
        <f ca="1">VLOOKUP(B76,MSG_New!$B$6:$O$96,MSG_New!G$1,FALSE)</f>
        <v>0.97499999999999998</v>
      </c>
    </row>
    <row r="79" spans="1:6" x14ac:dyDescent="0.25">
      <c r="C79" t="s">
        <v>66</v>
      </c>
      <c r="D79" t="s">
        <v>52</v>
      </c>
      <c r="E79">
        <f ca="1">VLOOKUP(B76,MSG_New!$B$6:$O$96,MSG_New!J$1,FALSE)</f>
        <v>50</v>
      </c>
    </row>
    <row r="80" spans="1:6" x14ac:dyDescent="0.25">
      <c r="C80" t="s">
        <v>67</v>
      </c>
      <c r="D80" t="s">
        <v>52</v>
      </c>
      <c r="E80">
        <f ca="1">VLOOKUP(B76,MSG_New!$B$6:$O$96,MSG_New!K$1,FALSE)</f>
        <v>0</v>
      </c>
    </row>
    <row r="81" spans="1:6" x14ac:dyDescent="0.25">
      <c r="C81" t="s">
        <v>68</v>
      </c>
      <c r="D81" t="s">
        <v>52</v>
      </c>
      <c r="E81">
        <f ca="1">VLOOKUP(B76,MSG_New!$B$6:$O$96,MSG_New!I$1,FALSE)</f>
        <v>0.99739999999999995</v>
      </c>
    </row>
    <row r="82" spans="1:6" x14ac:dyDescent="0.25">
      <c r="C82" t="s">
        <v>69</v>
      </c>
      <c r="D82" t="s">
        <v>80</v>
      </c>
      <c r="E82" t="s">
        <v>75</v>
      </c>
      <c r="F82" t="str">
        <f ca="1">VLOOKUP(B76,MSG_New!$B$6:$O$96,MSG_New!N$1,FALSE)</f>
        <v>0 0 0 0 0 338 0 0 0 0 0 0</v>
      </c>
    </row>
    <row r="83" spans="1:6" x14ac:dyDescent="0.25">
      <c r="B83" t="s">
        <v>71</v>
      </c>
    </row>
    <row r="84" spans="1:6" x14ac:dyDescent="0.25">
      <c r="A84" s="69">
        <f>A75+1</f>
        <v>20</v>
      </c>
      <c r="B84" t="s">
        <v>63</v>
      </c>
    </row>
    <row r="85" spans="1:6" x14ac:dyDescent="0.25">
      <c r="B85" t="str">
        <f ca="1">OFFSET(MSG_New!$B$5,A84,0)</f>
        <v>ELNCCLSGGUwLIw</v>
      </c>
      <c r="C85" t="str">
        <f ca="1">VLOOKUP(B85,MSG_New!$B$6:$O$96,MSG_New!E$1,FALSE)</f>
        <v>j</v>
      </c>
    </row>
    <row r="86" spans="1:6" x14ac:dyDescent="0.25">
      <c r="C86" t="s">
        <v>64</v>
      </c>
      <c r="D86" t="str">
        <f ca="1">VLOOKUP(VLOOKUP(B85,MSG_New!$B$6:$O$96,MSG_New!C$1,FALSE),energyforms!$B$2:$E$14,4,FALSE)</f>
        <v>e-E-GUw</v>
      </c>
      <c r="E86">
        <f ca="1">VLOOKUP(B85,MSG_New!$B$6:$O$96,MSG_New!F$1,FALSE)</f>
        <v>1</v>
      </c>
    </row>
    <row r="87" spans="1:6" x14ac:dyDescent="0.25">
      <c r="C87" t="s">
        <v>65</v>
      </c>
      <c r="D87" t="str">
        <f ca="1">VLOOKUP(VLOOKUP(B85,MSG_New!$B$6:$O$96,MSG_New!D$1,FALSE),energyforms!$B$2:$E$14,4,FALSE)</f>
        <v>e-G-LIw</v>
      </c>
      <c r="E87" t="s">
        <v>52</v>
      </c>
      <c r="F87">
        <f ca="1">VLOOKUP(B85,MSG_New!$B$6:$O$96,MSG_New!G$1,FALSE)</f>
        <v>0.97499999999999998</v>
      </c>
    </row>
    <row r="88" spans="1:6" x14ac:dyDescent="0.25">
      <c r="C88" t="s">
        <v>66</v>
      </c>
      <c r="D88" t="s">
        <v>52</v>
      </c>
      <c r="E88">
        <f ca="1">VLOOKUP(B85,MSG_New!$B$6:$O$96,MSG_New!J$1,FALSE)</f>
        <v>50</v>
      </c>
    </row>
    <row r="89" spans="1:6" x14ac:dyDescent="0.25">
      <c r="C89" t="s">
        <v>67</v>
      </c>
      <c r="D89" t="s">
        <v>52</v>
      </c>
      <c r="E89">
        <f ca="1">VLOOKUP(B85,MSG_New!$B$6:$O$96,MSG_New!K$1,FALSE)</f>
        <v>0</v>
      </c>
    </row>
    <row r="90" spans="1:6" x14ac:dyDescent="0.25">
      <c r="C90" t="s">
        <v>68</v>
      </c>
      <c r="D90" t="s">
        <v>52</v>
      </c>
      <c r="E90">
        <f ca="1">VLOOKUP(B85,MSG_New!$B$6:$O$96,MSG_New!I$1,FALSE)</f>
        <v>0.99739999999999995</v>
      </c>
    </row>
    <row r="91" spans="1:6" x14ac:dyDescent="0.25">
      <c r="C91" t="s">
        <v>69</v>
      </c>
      <c r="D91" t="s">
        <v>80</v>
      </c>
      <c r="E91" t="s">
        <v>75</v>
      </c>
      <c r="F91" t="str">
        <f ca="1">VLOOKUP(B85,MSG_New!$B$6:$O$96,MSG_New!N$1,FALSE)</f>
        <v>0 0 0 0 0 338 0 0 0 0 0 0</v>
      </c>
    </row>
    <row r="92" spans="1:6" x14ac:dyDescent="0.25">
      <c r="B92" t="s">
        <v>71</v>
      </c>
    </row>
    <row r="93" spans="1:6" x14ac:dyDescent="0.25">
      <c r="A93" s="69">
        <f>A84+1</f>
        <v>21</v>
      </c>
      <c r="B93" t="s">
        <v>63</v>
      </c>
    </row>
    <row r="94" spans="1:6" x14ac:dyDescent="0.25">
      <c r="B94" t="str">
        <f ca="1">OFFSET(MSG_New!$B$5,A93,0)</f>
        <v>ELNCCLSGSIwLIw</v>
      </c>
      <c r="C94" t="str">
        <f ca="1">VLOOKUP(B94,MSG_New!$B$6:$O$96,MSG_New!E$1,FALSE)</f>
        <v>k</v>
      </c>
    </row>
    <row r="95" spans="1:6" x14ac:dyDescent="0.25">
      <c r="C95" t="s">
        <v>64</v>
      </c>
      <c r="D95" t="str">
        <f ca="1">VLOOKUP(VLOOKUP(B94,MSG_New!$B$6:$O$96,MSG_New!C$1,FALSE),energyforms!$B$2:$E$14,4,FALSE)</f>
        <v>e-L-SIw</v>
      </c>
      <c r="E95">
        <f ca="1">VLOOKUP(B94,MSG_New!$B$6:$O$96,MSG_New!F$1,FALSE)</f>
        <v>1</v>
      </c>
    </row>
    <row r="96" spans="1:6" x14ac:dyDescent="0.25">
      <c r="C96" t="s">
        <v>65</v>
      </c>
      <c r="D96" t="str">
        <f ca="1">VLOOKUP(VLOOKUP(B94,MSG_New!$B$6:$O$96,MSG_New!D$1,FALSE),energyforms!$B$2:$E$14,4,FALSE)</f>
        <v>e-G-LIw</v>
      </c>
      <c r="E96" t="s">
        <v>52</v>
      </c>
      <c r="F96">
        <f ca="1">VLOOKUP(B94,MSG_New!$B$6:$O$96,MSG_New!G$1,FALSE)</f>
        <v>0.93207279297035395</v>
      </c>
    </row>
    <row r="97" spans="1:10" x14ac:dyDescent="0.25">
      <c r="C97" t="s">
        <v>66</v>
      </c>
      <c r="D97" t="s">
        <v>52</v>
      </c>
      <c r="E97">
        <f ca="1">VLOOKUP(B94,MSG_New!$B$6:$O$96,MSG_New!J$1,FALSE)</f>
        <v>50</v>
      </c>
    </row>
    <row r="98" spans="1:10" x14ac:dyDescent="0.25">
      <c r="C98" t="s">
        <v>67</v>
      </c>
      <c r="D98" t="s">
        <v>52</v>
      </c>
      <c r="E98">
        <f ca="1">VLOOKUP(B94,MSG_New!$B$6:$O$96,MSG_New!K$1,FALSE)</f>
        <v>0</v>
      </c>
    </row>
    <row r="99" spans="1:10" x14ac:dyDescent="0.25">
      <c r="C99" t="s">
        <v>68</v>
      </c>
      <c r="D99" t="s">
        <v>52</v>
      </c>
      <c r="E99">
        <f ca="1">VLOOKUP(B94,MSG_New!$B$6:$O$96,MSG_New!I$1,FALSE)</f>
        <v>0.98939999999999995</v>
      </c>
    </row>
    <row r="100" spans="1:10" x14ac:dyDescent="0.25">
      <c r="C100" t="s">
        <v>69</v>
      </c>
      <c r="D100" t="s">
        <v>80</v>
      </c>
      <c r="E100" t="s">
        <v>75</v>
      </c>
      <c r="F100" t="str">
        <f ca="1">VLOOKUP(B94,MSG_New!$B$6:$O$96,MSG_New!N$1,FALSE)</f>
        <v>0 0 0 0 0 303 0 0 0 0 0 0</v>
      </c>
    </row>
    <row r="101" spans="1:10" x14ac:dyDescent="0.25">
      <c r="B101" t="s">
        <v>71</v>
      </c>
    </row>
    <row r="102" spans="1:10" x14ac:dyDescent="0.25">
      <c r="A102" s="69">
        <f>A93+1</f>
        <v>22</v>
      </c>
      <c r="B102" t="s">
        <v>63</v>
      </c>
    </row>
    <row r="103" spans="1:10" x14ac:dyDescent="0.25">
      <c r="B103" t="str">
        <f ca="1">OFFSET(MSG_New!$B$5,A102,0)</f>
        <v>ELNCCLSGGUwSIw</v>
      </c>
      <c r="C103" t="str">
        <f ca="1">VLOOKUP(B103,MSG_New!$B$6:$O$96,MSG_New!E$1,FALSE)</f>
        <v>j</v>
      </c>
    </row>
    <row r="104" spans="1:10" x14ac:dyDescent="0.25">
      <c r="C104" t="s">
        <v>64</v>
      </c>
      <c r="D104" t="str">
        <f ca="1">VLOOKUP(VLOOKUP(B103,MSG_New!$B$6:$O$96,MSG_New!C$1,FALSE),energyforms!$B$2:$E$14,4,FALSE)</f>
        <v>e-E-GUw</v>
      </c>
      <c r="E104">
        <f ca="1">VLOOKUP(B103,MSG_New!$B$6:$O$96,MSG_New!F$1,FALSE)</f>
        <v>1</v>
      </c>
    </row>
    <row r="105" spans="1:10" x14ac:dyDescent="0.25">
      <c r="C105" t="s">
        <v>65</v>
      </c>
      <c r="D105" t="str">
        <f ca="1">VLOOKUP(VLOOKUP(B103,MSG_New!$B$6:$O$96,MSG_New!D$1,FALSE),energyforms!$B$2:$E$14,4,FALSE)</f>
        <v>e-L-SIw</v>
      </c>
      <c r="E105" t="s">
        <v>52</v>
      </c>
      <c r="F105">
        <f ca="1">VLOOKUP(B103,MSG_New!$B$6:$O$96,MSG_New!G$1,FALSE)</f>
        <v>0.97499999999999998</v>
      </c>
    </row>
    <row r="106" spans="1:10" x14ac:dyDescent="0.25">
      <c r="C106" t="s">
        <v>66</v>
      </c>
      <c r="D106" t="s">
        <v>52</v>
      </c>
      <c r="E106">
        <f ca="1">VLOOKUP(B103,MSG_New!$B$6:$O$96,MSG_New!J$1,FALSE)</f>
        <v>50</v>
      </c>
    </row>
    <row r="107" spans="1:10" x14ac:dyDescent="0.25">
      <c r="C107" t="s">
        <v>67</v>
      </c>
      <c r="D107" t="s">
        <v>52</v>
      </c>
      <c r="E107">
        <f ca="1">VLOOKUP(B103,MSG_New!$B$6:$O$96,MSG_New!K$1,FALSE)</f>
        <v>0</v>
      </c>
    </row>
    <row r="108" spans="1:10" x14ac:dyDescent="0.25">
      <c r="C108" t="s">
        <v>68</v>
      </c>
      <c r="D108" t="s">
        <v>52</v>
      </c>
      <c r="E108">
        <f ca="1">VLOOKUP(B103,MSG_New!$B$6:$O$96,MSG_New!I$1,FALSE)</f>
        <v>0.99650000000000005</v>
      </c>
    </row>
    <row r="109" spans="1:10" x14ac:dyDescent="0.25">
      <c r="C109" t="s">
        <v>69</v>
      </c>
      <c r="D109" t="s">
        <v>80</v>
      </c>
      <c r="E109" t="s">
        <v>75</v>
      </c>
      <c r="F109" t="str">
        <f ca="1">VLOOKUP(B103,MSG_New!$B$6:$O$96,MSG_New!N$1,FALSE)</f>
        <v>0 0 0 0 0 334 0 0 0 0 0 0</v>
      </c>
    </row>
    <row r="110" spans="1:10" x14ac:dyDescent="0.25">
      <c r="B110" t="s">
        <v>71</v>
      </c>
    </row>
    <row r="111" spans="1:10" s="73" customFormat="1" x14ac:dyDescent="0.25">
      <c r="J111" s="73" t="str">
        <f>MSG_New!B30</f>
        <v>OMVG</v>
      </c>
    </row>
    <row r="112" spans="1:10" x14ac:dyDescent="0.25">
      <c r="A112" s="69">
        <f>A102+5</f>
        <v>27</v>
      </c>
      <c r="B112" s="107" t="s">
        <v>63</v>
      </c>
      <c r="C112" s="107"/>
      <c r="D112" s="107"/>
      <c r="E112" s="107"/>
      <c r="F112" s="107"/>
    </row>
    <row r="113" spans="1:6" x14ac:dyDescent="0.25">
      <c r="B113" t="str">
        <f ca="1">OFFSET(MSG_New!$B$5,A112,0)</f>
        <v>ELNCOMVGSEwGUw</v>
      </c>
      <c r="C113" t="str">
        <f ca="1">VLOOKUP(B113,MSG_New!$B$6:$O$96,MSG_New!E$1,FALSE)</f>
        <v>k</v>
      </c>
    </row>
    <row r="114" spans="1:6" x14ac:dyDescent="0.25">
      <c r="C114" t="s">
        <v>64</v>
      </c>
      <c r="D114" t="str">
        <f ca="1">VLOOKUP(VLOOKUP(B113,MSG_New!$B$6:$O$96,MSG_New!C$1,FALSE),energyforms!$B$2:$E$14,4,FALSE)</f>
        <v>e-K-SEw</v>
      </c>
      <c r="E114">
        <f ca="1">VLOOKUP(B113,MSG_New!$B$6:$O$96,MSG_New!F$1,FALSE)</f>
        <v>1</v>
      </c>
    </row>
    <row r="115" spans="1:6" x14ac:dyDescent="0.25">
      <c r="C115" t="s">
        <v>65</v>
      </c>
      <c r="D115" t="str">
        <f ca="1">VLOOKUP(VLOOKUP(B113,MSG_New!$B$6:$O$96,MSG_New!D$1,FALSE),energyforms!$B$2:$E$14,4,FALSE)</f>
        <v>e-E-GUw</v>
      </c>
      <c r="E115" t="s">
        <v>52</v>
      </c>
      <c r="F115">
        <f ca="1">ROUND(VLOOKUP(B113,MSG_New!$B$6:$O$96,MSG_New!G$1,FALSE),3)</f>
        <v>0.90600000000000003</v>
      </c>
    </row>
    <row r="116" spans="1:6" x14ac:dyDescent="0.25">
      <c r="C116" t="s">
        <v>66</v>
      </c>
      <c r="D116" t="s">
        <v>52</v>
      </c>
      <c r="E116">
        <f ca="1">VLOOKUP(B113,MSG_New!$B$6:$O$96,MSG_New!J$1,FALSE)</f>
        <v>50</v>
      </c>
    </row>
    <row r="117" spans="1:6" x14ac:dyDescent="0.25">
      <c r="C117" t="s">
        <v>67</v>
      </c>
      <c r="D117" t="s">
        <v>52</v>
      </c>
      <c r="E117">
        <f ca="1">VLOOKUP(B113,MSG_New!$B$6:$O$96,MSG_New!K$1,FALSE)</f>
        <v>1012.3</v>
      </c>
    </row>
    <row r="118" spans="1:6" x14ac:dyDescent="0.25">
      <c r="C118" t="s">
        <v>68</v>
      </c>
      <c r="D118" t="s">
        <v>52</v>
      </c>
      <c r="E118">
        <f ca="1">VLOOKUP(B113,MSG_New!$B$6:$O$96,MSG_New!I$1,FALSE)</f>
        <v>0.98540000000000005</v>
      </c>
    </row>
    <row r="119" spans="1:6" x14ac:dyDescent="0.25">
      <c r="C119" t="s">
        <v>69</v>
      </c>
      <c r="D119" t="s">
        <v>80</v>
      </c>
      <c r="E119" t="s">
        <v>75</v>
      </c>
      <c r="F119" t="str">
        <f ca="1">VLOOKUP(B113,MSG_New!$B$6:$O$96,MSG_New!N$1,FALSE)</f>
        <v>0 0 0 0 0 0 0 286 0 0 0 0</v>
      </c>
    </row>
    <row r="120" spans="1:6" x14ac:dyDescent="0.25">
      <c r="B120" t="s">
        <v>71</v>
      </c>
    </row>
    <row r="121" spans="1:6" x14ac:dyDescent="0.25">
      <c r="A121" s="69">
        <f>A112+1</f>
        <v>28</v>
      </c>
      <c r="B121" t="s">
        <v>63</v>
      </c>
    </row>
    <row r="122" spans="1:6" x14ac:dyDescent="0.25">
      <c r="B122" t="str">
        <f ca="1">OFFSET(MSG_New!$B$5,A121,0)</f>
        <v>ELNCOMVGSEwGAw</v>
      </c>
      <c r="C122" t="str">
        <f ca="1">VLOOKUP(B122,MSG_New!$B$6:$O$96,MSG_New!E$1,FALSE)</f>
        <v>i</v>
      </c>
    </row>
    <row r="123" spans="1:6" x14ac:dyDescent="0.25">
      <c r="C123" t="s">
        <v>64</v>
      </c>
      <c r="D123" t="str">
        <f ca="1">VLOOKUP(VLOOKUP(B122,MSG_New!$B$6:$O$96,MSG_New!C$1,FALSE),energyforms!$B$2:$E$14,4,FALSE)</f>
        <v>e-K-SEw</v>
      </c>
      <c r="E123">
        <f ca="1">VLOOKUP(B122,MSG_New!$B$6:$O$96,MSG_New!F$1,FALSE)</f>
        <v>1</v>
      </c>
    </row>
    <row r="124" spans="1:6" x14ac:dyDescent="0.25">
      <c r="C124" t="s">
        <v>65</v>
      </c>
      <c r="D124" t="str">
        <f ca="1">VLOOKUP(VLOOKUP(B122,MSG_New!$B$6:$O$96,MSG_New!D$1,FALSE),energyforms!$B$2:$E$14,4,FALSE)</f>
        <v>e-C-GAw</v>
      </c>
      <c r="E124" t="s">
        <v>52</v>
      </c>
      <c r="F124">
        <f ca="1">ROUND(VLOOKUP(B122,MSG_New!$B$6:$O$96,MSG_New!G$1,FALSE),3)</f>
        <v>0.97499999999999998</v>
      </c>
    </row>
    <row r="125" spans="1:6" x14ac:dyDescent="0.25">
      <c r="C125" t="s">
        <v>66</v>
      </c>
      <c r="D125" t="s">
        <v>52</v>
      </c>
      <c r="E125">
        <f ca="1">VLOOKUP(B122,MSG_New!$B$6:$O$96,MSG_New!J$1,FALSE)</f>
        <v>50</v>
      </c>
    </row>
    <row r="126" spans="1:6" x14ac:dyDescent="0.25">
      <c r="C126" t="s">
        <v>67</v>
      </c>
      <c r="D126" t="s">
        <v>52</v>
      </c>
      <c r="E126">
        <f ca="1">VLOOKUP(B122,MSG_New!$B$6:$O$96,MSG_New!K$1,FALSE)</f>
        <v>106.3</v>
      </c>
    </row>
    <row r="127" spans="1:6" x14ac:dyDescent="0.25">
      <c r="C127" t="s">
        <v>68</v>
      </c>
      <c r="D127" t="s">
        <v>52</v>
      </c>
      <c r="E127">
        <f ca="1">VLOOKUP(B122,MSG_New!$B$6:$O$96,MSG_New!I$1,FALSE)</f>
        <v>0.99819999999999998</v>
      </c>
    </row>
    <row r="128" spans="1:6" x14ac:dyDescent="0.25">
      <c r="C128" t="s">
        <v>69</v>
      </c>
      <c r="D128" t="s">
        <v>80</v>
      </c>
      <c r="E128" t="s">
        <v>75</v>
      </c>
      <c r="F128" t="str">
        <f ca="1">VLOOKUP(B122,MSG_New!$B$6:$O$96,MSG_New!N$1,FALSE)</f>
        <v>0 0 0 0 0 0 0 341 0 0 0 0</v>
      </c>
    </row>
    <row r="129" spans="1:6" x14ac:dyDescent="0.25">
      <c r="B129" t="s">
        <v>71</v>
      </c>
    </row>
    <row r="130" spans="1:6" x14ac:dyDescent="0.25">
      <c r="A130" s="69">
        <f>A121+1</f>
        <v>29</v>
      </c>
      <c r="B130" t="s">
        <v>63</v>
      </c>
    </row>
    <row r="131" spans="1:6" x14ac:dyDescent="0.25">
      <c r="B131" t="str">
        <f ca="1">OFFSET(MSG_New!$B$5,A130,0)</f>
        <v>ELNCOMVGGAwGBw</v>
      </c>
      <c r="C131" t="str">
        <f ca="1">VLOOKUP(B131,MSG_New!$B$6:$O$96,MSG_New!E$1,FALSE)</f>
        <v>i</v>
      </c>
    </row>
    <row r="132" spans="1:6" x14ac:dyDescent="0.25">
      <c r="C132" t="s">
        <v>64</v>
      </c>
      <c r="D132" t="str">
        <f ca="1">VLOOKUP(VLOOKUP(B131,MSG_New!$B$6:$O$96,MSG_New!C$1,FALSE),energyforms!$B$2:$E$14,4,FALSE)</f>
        <v>e-C-GAw</v>
      </c>
      <c r="E132">
        <f ca="1">VLOOKUP(B131,MSG_New!$B$6:$O$96,MSG_New!F$1,FALSE)</f>
        <v>1</v>
      </c>
    </row>
    <row r="133" spans="1:6" x14ac:dyDescent="0.25">
      <c r="C133" t="s">
        <v>65</v>
      </c>
      <c r="D133" t="str">
        <f ca="1">VLOOKUP(VLOOKUP(B131,MSG_New!$B$6:$O$96,MSG_New!D$1,FALSE),energyforms!$B$2:$E$14,4,FALSE)</f>
        <v>e-F-GBw</v>
      </c>
      <c r="E133" t="s">
        <v>52</v>
      </c>
      <c r="F133">
        <f ca="1">ROUND(VLOOKUP(B131,MSG_New!$B$6:$O$96,MSG_New!G$1,FALSE),3)</f>
        <v>0.97099999999999997</v>
      </c>
    </row>
    <row r="134" spans="1:6" x14ac:dyDescent="0.25">
      <c r="C134" t="s">
        <v>66</v>
      </c>
      <c r="D134" t="s">
        <v>52</v>
      </c>
      <c r="E134">
        <f ca="1">VLOOKUP(B131,MSG_New!$B$6:$O$96,MSG_New!J$1,FALSE)</f>
        <v>50</v>
      </c>
    </row>
    <row r="135" spans="1:6" x14ac:dyDescent="0.25">
      <c r="C135" t="s">
        <v>67</v>
      </c>
      <c r="D135" t="s">
        <v>52</v>
      </c>
      <c r="E135">
        <f ca="1">VLOOKUP(B131,MSG_New!$B$6:$O$96,MSG_New!K$1,FALSE)</f>
        <v>275.3</v>
      </c>
    </row>
    <row r="136" spans="1:6" x14ac:dyDescent="0.25">
      <c r="C136" t="s">
        <v>68</v>
      </c>
      <c r="D136" t="s">
        <v>52</v>
      </c>
      <c r="E136">
        <f ca="1">VLOOKUP(B131,MSG_New!$B$6:$O$96,MSG_New!I$1,FALSE)</f>
        <v>0.99539999999999995</v>
      </c>
    </row>
    <row r="137" spans="1:6" x14ac:dyDescent="0.25">
      <c r="C137" t="s">
        <v>69</v>
      </c>
      <c r="D137" t="s">
        <v>80</v>
      </c>
      <c r="E137" t="s">
        <v>75</v>
      </c>
      <c r="F137" t="str">
        <f ca="1">VLOOKUP(B131,MSG_New!$B$6:$O$96,MSG_New!N$1,FALSE)</f>
        <v>0 0 0 0 0 0 0 329 0 0 0 0</v>
      </c>
    </row>
    <row r="138" spans="1:6" x14ac:dyDescent="0.25">
      <c r="B138" t="s">
        <v>71</v>
      </c>
    </row>
    <row r="139" spans="1:6" x14ac:dyDescent="0.25">
      <c r="A139" s="69">
        <f>A130+1</f>
        <v>30</v>
      </c>
      <c r="B139" t="s">
        <v>63</v>
      </c>
    </row>
    <row r="140" spans="1:6" x14ac:dyDescent="0.25">
      <c r="B140" t="str">
        <f ca="1">OFFSET(MSG_New!$B$5,A139,0)</f>
        <v>ELNCOMVGGBwGUw</v>
      </c>
      <c r="C140" t="str">
        <f ca="1">VLOOKUP(B140,MSG_New!$B$6:$O$96,MSG_New!E$1,FALSE)</f>
        <v>l</v>
      </c>
    </row>
    <row r="141" spans="1:6" x14ac:dyDescent="0.25">
      <c r="C141" t="s">
        <v>64</v>
      </c>
      <c r="D141" t="str">
        <f ca="1">VLOOKUP(VLOOKUP(B140,MSG_New!$B$6:$O$96,MSG_New!C$1,FALSE),energyforms!$B$2:$E$14,4,FALSE)</f>
        <v>e-F-GBw</v>
      </c>
      <c r="E141">
        <f ca="1">VLOOKUP(B140,MSG_New!$B$6:$O$96,MSG_New!F$1,FALSE)</f>
        <v>1</v>
      </c>
    </row>
    <row r="142" spans="1:6" x14ac:dyDescent="0.25">
      <c r="C142" t="s">
        <v>65</v>
      </c>
      <c r="D142" t="str">
        <f ca="1">VLOOKUP(VLOOKUP(B140,MSG_New!$B$6:$O$96,MSG_New!D$1,FALSE),energyforms!$B$2:$E$14,4,FALSE)</f>
        <v>e-E-GUw</v>
      </c>
      <c r="E142" t="s">
        <v>52</v>
      </c>
      <c r="F142">
        <f ca="1">ROUND(VLOOKUP(B140,MSG_New!$B$6:$O$96,MSG_New!G$1,FALSE),3)</f>
        <v>0.94099999999999995</v>
      </c>
    </row>
    <row r="143" spans="1:6" x14ac:dyDescent="0.25">
      <c r="C143" t="s">
        <v>66</v>
      </c>
      <c r="D143" t="s">
        <v>52</v>
      </c>
      <c r="E143">
        <f ca="1">VLOOKUP(B140,MSG_New!$B$6:$O$96,MSG_New!J$1,FALSE)</f>
        <v>50</v>
      </c>
    </row>
    <row r="144" spans="1:6" x14ac:dyDescent="0.25">
      <c r="C144" t="s">
        <v>67</v>
      </c>
      <c r="D144" t="s">
        <v>52</v>
      </c>
      <c r="E144">
        <f ca="1">VLOOKUP(B140,MSG_New!$B$6:$O$96,MSG_New!K$1,FALSE)</f>
        <v>585</v>
      </c>
    </row>
    <row r="145" spans="1:6" x14ac:dyDescent="0.25">
      <c r="C145" t="s">
        <v>68</v>
      </c>
      <c r="D145" t="s">
        <v>52</v>
      </c>
      <c r="E145">
        <f ca="1">VLOOKUP(B140,MSG_New!$B$6:$O$96,MSG_New!I$1,FALSE)</f>
        <v>0.9909</v>
      </c>
    </row>
    <row r="146" spans="1:6" x14ac:dyDescent="0.25">
      <c r="C146" t="s">
        <v>69</v>
      </c>
      <c r="D146" t="s">
        <v>80</v>
      </c>
      <c r="E146" t="s">
        <v>75</v>
      </c>
      <c r="F146" t="str">
        <f ca="1">VLOOKUP(B140,MSG_New!$B$6:$O$96,MSG_New!N$1,FALSE)</f>
        <v>0 0 0 0 0 0 0 310 0 0 0 0</v>
      </c>
    </row>
    <row r="147" spans="1:6" x14ac:dyDescent="0.25">
      <c r="B147" t="s">
        <v>71</v>
      </c>
    </row>
    <row r="148" spans="1:6" x14ac:dyDescent="0.25">
      <c r="A148" s="77">
        <f>A139+4</f>
        <v>34</v>
      </c>
      <c r="B148" t="s">
        <v>63</v>
      </c>
    </row>
    <row r="149" spans="1:6" x14ac:dyDescent="0.25">
      <c r="B149" t="str">
        <f ca="1">OFFSET(MSG_New!$B$5,A148,0)</f>
        <v>ELNCOMVGGUwSEw</v>
      </c>
      <c r="C149" t="str">
        <f ca="1">VLOOKUP(B149,MSG_New!$B$6:$O$96,MSG_New!E$1,FALSE)</f>
        <v>i</v>
      </c>
    </row>
    <row r="150" spans="1:6" x14ac:dyDescent="0.25">
      <c r="C150" t="s">
        <v>64</v>
      </c>
      <c r="D150" t="str">
        <f ca="1">VLOOKUP(VLOOKUP(B149,MSG_New!$B$6:$O$96,MSG_New!C$1,FALSE),energyforms!$B$2:$E$14,4,FALSE)</f>
        <v>e-E-GUw</v>
      </c>
      <c r="E150">
        <f ca="1">VLOOKUP(B149,MSG_New!$B$6:$O$96,MSG_New!F$1,FALSE)</f>
        <v>1</v>
      </c>
    </row>
    <row r="151" spans="1:6" x14ac:dyDescent="0.25">
      <c r="C151" t="s">
        <v>65</v>
      </c>
      <c r="D151" t="str">
        <f ca="1">VLOOKUP(VLOOKUP(B149,MSG_New!$B$6:$O$96,MSG_New!D$1,FALSE),energyforms!$B$2:$E$14,4,FALSE)</f>
        <v>e-K-SEw</v>
      </c>
      <c r="E151" t="s">
        <v>52</v>
      </c>
      <c r="F151">
        <f ca="1">ROUND(VLOOKUP(B149,MSG_New!$B$6:$O$96,MSG_New!G$1,FALSE),3)</f>
        <v>0.90600000000000003</v>
      </c>
    </row>
    <row r="152" spans="1:6" x14ac:dyDescent="0.25">
      <c r="C152" t="s">
        <v>66</v>
      </c>
      <c r="D152" t="s">
        <v>52</v>
      </c>
      <c r="E152">
        <f ca="1">VLOOKUP(B149,MSG_New!$B$6:$O$96,MSG_New!J$1,FALSE)</f>
        <v>50</v>
      </c>
    </row>
    <row r="153" spans="1:6" x14ac:dyDescent="0.25">
      <c r="C153" t="s">
        <v>67</v>
      </c>
      <c r="D153" t="s">
        <v>52</v>
      </c>
      <c r="E153">
        <f ca="1">VLOOKUP(B149,MSG_New!$B$6:$O$96,MSG_New!K$1,FALSE)</f>
        <v>0</v>
      </c>
    </row>
    <row r="154" spans="1:6" x14ac:dyDescent="0.25">
      <c r="C154" t="s">
        <v>68</v>
      </c>
      <c r="D154" t="s">
        <v>52</v>
      </c>
      <c r="E154">
        <f ca="1">VLOOKUP(B149,MSG_New!$B$6:$O$96,MSG_New!I$1,FALSE)</f>
        <v>0.98540000000000005</v>
      </c>
    </row>
    <row r="155" spans="1:6" x14ac:dyDescent="0.25">
      <c r="C155" t="s">
        <v>69</v>
      </c>
      <c r="D155" t="s">
        <v>80</v>
      </c>
      <c r="E155" t="s">
        <v>75</v>
      </c>
      <c r="F155" t="str">
        <f ca="1">VLOOKUP(B149,MSG_New!$B$6:$O$96,MSG_New!N$1,FALSE)</f>
        <v>0 0 0 0 0 0 0 286 0 0 0 0</v>
      </c>
    </row>
    <row r="156" spans="1:6" x14ac:dyDescent="0.25">
      <c r="B156" t="s">
        <v>71</v>
      </c>
    </row>
    <row r="157" spans="1:6" x14ac:dyDescent="0.25">
      <c r="A157" s="69">
        <f>A148+1</f>
        <v>35</v>
      </c>
      <c r="B157" t="s">
        <v>63</v>
      </c>
    </row>
    <row r="158" spans="1:6" x14ac:dyDescent="0.25">
      <c r="B158" t="str">
        <f ca="1">OFFSET(MSG_New!$B$5,A157,0)</f>
        <v>ELNCOMVGGAwSEw</v>
      </c>
      <c r="C158" t="str">
        <f ca="1">VLOOKUP(B158,MSG_New!$B$6:$O$96,MSG_New!E$1,FALSE)</f>
        <v>j</v>
      </c>
    </row>
    <row r="159" spans="1:6" x14ac:dyDescent="0.25">
      <c r="C159" t="s">
        <v>64</v>
      </c>
      <c r="D159" t="str">
        <f ca="1">VLOOKUP(VLOOKUP(B158,MSG_New!$B$6:$O$96,MSG_New!C$1,FALSE),energyforms!$B$2:$E$14,4,FALSE)</f>
        <v>e-C-GAw</v>
      </c>
      <c r="E159">
        <f ca="1">VLOOKUP(B158,MSG_New!$B$6:$O$96,MSG_New!F$1,FALSE)</f>
        <v>1</v>
      </c>
    </row>
    <row r="160" spans="1:6" x14ac:dyDescent="0.25">
      <c r="C160" t="s">
        <v>65</v>
      </c>
      <c r="D160" t="str">
        <f ca="1">VLOOKUP(VLOOKUP(B158,MSG_New!$B$6:$O$96,MSG_New!D$1,FALSE),energyforms!$B$2:$E$14,4,FALSE)</f>
        <v>e-K-SEw</v>
      </c>
      <c r="E160" t="s">
        <v>52</v>
      </c>
      <c r="F160">
        <f ca="1">ROUND(VLOOKUP(B158,MSG_New!$B$6:$O$96,MSG_New!G$1,FALSE),3)</f>
        <v>0.97499999999999998</v>
      </c>
    </row>
    <row r="161" spans="1:6" x14ac:dyDescent="0.25">
      <c r="C161" t="s">
        <v>66</v>
      </c>
      <c r="D161" t="s">
        <v>52</v>
      </c>
      <c r="E161">
        <f ca="1">VLOOKUP(B158,MSG_New!$B$6:$O$96,MSG_New!J$1,FALSE)</f>
        <v>50</v>
      </c>
    </row>
    <row r="162" spans="1:6" x14ac:dyDescent="0.25">
      <c r="C162" t="s">
        <v>67</v>
      </c>
      <c r="D162" t="s">
        <v>52</v>
      </c>
      <c r="E162">
        <f ca="1">VLOOKUP(B158,MSG_New!$B$6:$O$96,MSG_New!K$1,FALSE)</f>
        <v>0</v>
      </c>
    </row>
    <row r="163" spans="1:6" x14ac:dyDescent="0.25">
      <c r="C163" t="s">
        <v>68</v>
      </c>
      <c r="D163" t="s">
        <v>52</v>
      </c>
      <c r="E163">
        <f ca="1">VLOOKUP(B158,MSG_New!$B$6:$O$96,MSG_New!I$1,FALSE)</f>
        <v>0.99819999999999998</v>
      </c>
    </row>
    <row r="164" spans="1:6" x14ac:dyDescent="0.25">
      <c r="C164" t="s">
        <v>69</v>
      </c>
      <c r="D164" t="s">
        <v>80</v>
      </c>
      <c r="E164" t="s">
        <v>75</v>
      </c>
      <c r="F164" t="str">
        <f ca="1">VLOOKUP(B158,MSG_New!$B$6:$O$96,MSG_New!N$1,FALSE)</f>
        <v>0 0 0 0 0 0 0 341 0 0 0 0</v>
      </c>
    </row>
    <row r="165" spans="1:6" x14ac:dyDescent="0.25">
      <c r="B165" t="s">
        <v>71</v>
      </c>
    </row>
    <row r="166" spans="1:6" x14ac:dyDescent="0.25">
      <c r="A166" s="69">
        <f>A157+1</f>
        <v>36</v>
      </c>
      <c r="B166" t="s">
        <v>63</v>
      </c>
    </row>
    <row r="167" spans="1:6" x14ac:dyDescent="0.25">
      <c r="B167" t="str">
        <f ca="1">OFFSET(MSG_New!$B$5,A166,0)</f>
        <v>ELNCOMVGGBwGAw</v>
      </c>
      <c r="C167" t="str">
        <f ca="1">VLOOKUP(B167,MSG_New!$B$6:$O$96,MSG_New!E$1,FALSE)</f>
        <v>j</v>
      </c>
    </row>
    <row r="168" spans="1:6" x14ac:dyDescent="0.25">
      <c r="C168" t="s">
        <v>64</v>
      </c>
      <c r="D168" t="str">
        <f ca="1">VLOOKUP(VLOOKUP(B167,MSG_New!$B$6:$O$96,MSG_New!C$1,FALSE),energyforms!$B$2:$E$14,4,FALSE)</f>
        <v>e-F-GBw</v>
      </c>
      <c r="E168">
        <f ca="1">VLOOKUP(B167,MSG_New!$B$6:$O$96,MSG_New!F$1,FALSE)</f>
        <v>1</v>
      </c>
    </row>
    <row r="169" spans="1:6" x14ac:dyDescent="0.25">
      <c r="C169" t="s">
        <v>65</v>
      </c>
      <c r="D169" t="str">
        <f ca="1">VLOOKUP(VLOOKUP(B167,MSG_New!$B$6:$O$96,MSG_New!D$1,FALSE),energyforms!$B$2:$E$14,4,FALSE)</f>
        <v>e-C-GAw</v>
      </c>
      <c r="E169" t="s">
        <v>52</v>
      </c>
      <c r="F169">
        <f ca="1">ROUND(VLOOKUP(B167,MSG_New!$B$6:$O$96,MSG_New!G$1,FALSE),3)</f>
        <v>0.97099999999999997</v>
      </c>
    </row>
    <row r="170" spans="1:6" x14ac:dyDescent="0.25">
      <c r="C170" t="s">
        <v>66</v>
      </c>
      <c r="D170" t="s">
        <v>52</v>
      </c>
      <c r="E170">
        <f ca="1">VLOOKUP(B167,MSG_New!$B$6:$O$96,MSG_New!J$1,FALSE)</f>
        <v>50</v>
      </c>
    </row>
    <row r="171" spans="1:6" x14ac:dyDescent="0.25">
      <c r="C171" t="s">
        <v>67</v>
      </c>
      <c r="D171" t="s">
        <v>52</v>
      </c>
      <c r="E171">
        <f ca="1">VLOOKUP(B167,MSG_New!$B$6:$O$96,MSG_New!K$1,FALSE)</f>
        <v>0</v>
      </c>
    </row>
    <row r="172" spans="1:6" x14ac:dyDescent="0.25">
      <c r="C172" t="s">
        <v>68</v>
      </c>
      <c r="D172" t="s">
        <v>52</v>
      </c>
      <c r="E172">
        <f ca="1">VLOOKUP(B167,MSG_New!$B$6:$O$96,MSG_New!I$1,FALSE)</f>
        <v>0.99539999999999995</v>
      </c>
    </row>
    <row r="173" spans="1:6" x14ac:dyDescent="0.25">
      <c r="C173" t="s">
        <v>69</v>
      </c>
      <c r="D173" t="s">
        <v>80</v>
      </c>
      <c r="E173" t="s">
        <v>75</v>
      </c>
      <c r="F173" t="str">
        <f ca="1">VLOOKUP(B167,MSG_New!$B$6:$O$96,MSG_New!N$1,FALSE)</f>
        <v>0 0 0 0 0 0 0 329 0 0 0 0</v>
      </c>
    </row>
    <row r="174" spans="1:6" x14ac:dyDescent="0.25">
      <c r="B174" t="s">
        <v>71</v>
      </c>
    </row>
    <row r="175" spans="1:6" x14ac:dyDescent="0.25">
      <c r="A175" s="69">
        <f>A166+1</f>
        <v>37</v>
      </c>
      <c r="B175" t="s">
        <v>63</v>
      </c>
    </row>
    <row r="176" spans="1:6" x14ac:dyDescent="0.25">
      <c r="B176" t="str">
        <f ca="1">OFFSET(MSG_New!$B$5,A175,0)</f>
        <v>ELNCOMVGGUwGBw</v>
      </c>
      <c r="C176" t="str">
        <f ca="1">VLOOKUP(B176,MSG_New!$B$6:$O$96,MSG_New!E$1,FALSE)</f>
        <v>j</v>
      </c>
    </row>
    <row r="177" spans="1:10" x14ac:dyDescent="0.25">
      <c r="C177" t="s">
        <v>64</v>
      </c>
      <c r="D177" t="str">
        <f ca="1">VLOOKUP(VLOOKUP(B176,MSG_New!$B$6:$O$96,MSG_New!C$1,FALSE),energyforms!$B$2:$E$14,4,FALSE)</f>
        <v>e-E-GUw</v>
      </c>
      <c r="E177">
        <f ca="1">VLOOKUP(B176,MSG_New!$B$6:$O$96,MSG_New!F$1,FALSE)</f>
        <v>1</v>
      </c>
    </row>
    <row r="178" spans="1:10" x14ac:dyDescent="0.25">
      <c r="C178" t="s">
        <v>65</v>
      </c>
      <c r="D178" t="str">
        <f ca="1">VLOOKUP(VLOOKUP(B176,MSG_New!$B$6:$O$96,MSG_New!D$1,FALSE),energyforms!$B$2:$E$14,4,FALSE)</f>
        <v>e-F-GBw</v>
      </c>
      <c r="E178" t="s">
        <v>52</v>
      </c>
      <c r="F178">
        <f ca="1">ROUND(VLOOKUP(B176,MSG_New!$B$6:$O$96,MSG_New!G$1,FALSE),3)</f>
        <v>0.94099999999999995</v>
      </c>
    </row>
    <row r="179" spans="1:10" x14ac:dyDescent="0.25">
      <c r="C179" t="s">
        <v>66</v>
      </c>
      <c r="D179" t="s">
        <v>52</v>
      </c>
      <c r="E179">
        <f ca="1">VLOOKUP(B176,MSG_New!$B$6:$O$96,MSG_New!J$1,FALSE)</f>
        <v>50</v>
      </c>
    </row>
    <row r="180" spans="1:10" x14ac:dyDescent="0.25">
      <c r="C180" t="s">
        <v>67</v>
      </c>
      <c r="D180" t="s">
        <v>52</v>
      </c>
      <c r="E180">
        <f ca="1">VLOOKUP(B176,MSG_New!$B$6:$O$96,MSG_New!K$1,FALSE)</f>
        <v>0</v>
      </c>
    </row>
    <row r="181" spans="1:10" x14ac:dyDescent="0.25">
      <c r="C181" t="s">
        <v>68</v>
      </c>
      <c r="D181" t="s">
        <v>52</v>
      </c>
      <c r="E181">
        <f ca="1">VLOOKUP(B176,MSG_New!$B$6:$O$96,MSG_New!I$1,FALSE)</f>
        <v>0.9909</v>
      </c>
    </row>
    <row r="182" spans="1:10" x14ac:dyDescent="0.25">
      <c r="C182" t="s">
        <v>69</v>
      </c>
      <c r="D182" t="s">
        <v>80</v>
      </c>
      <c r="E182" t="s">
        <v>75</v>
      </c>
      <c r="F182" t="str">
        <f ca="1">VLOOKUP(B176,MSG_New!$B$6:$O$96,MSG_New!N$1,FALSE)</f>
        <v>0 0 0 0 0 0 0 310 0 0 0 0</v>
      </c>
    </row>
    <row r="183" spans="1:10" x14ac:dyDescent="0.25">
      <c r="B183" t="s">
        <v>71</v>
      </c>
    </row>
    <row r="184" spans="1:10" s="73" customFormat="1" x14ac:dyDescent="0.25">
      <c r="J184" s="73" t="str">
        <f>MSG_New!B44</f>
        <v>Hub Intrazonal</v>
      </c>
    </row>
    <row r="185" spans="1:10" x14ac:dyDescent="0.25">
      <c r="A185" s="69">
        <v>41</v>
      </c>
      <c r="B185" s="107" t="s">
        <v>63</v>
      </c>
      <c r="C185" s="107"/>
      <c r="D185" s="107"/>
      <c r="E185" s="107"/>
      <c r="F185" s="107"/>
    </row>
    <row r="186" spans="1:10" x14ac:dyDescent="0.25">
      <c r="B186" t="str">
        <f ca="1">OFFSET(MSG_New!$B$5,A185,0)</f>
        <v>ELNChubGHwBUw</v>
      </c>
      <c r="C186" t="str">
        <f ca="1">VLOOKUP(B186,MSG_New!$B$6:$O$96,MSG_New!E$1,FALSE)</f>
        <v>j</v>
      </c>
    </row>
    <row r="187" spans="1:10" x14ac:dyDescent="0.25">
      <c r="C187" t="s">
        <v>64</v>
      </c>
      <c r="D187" t="str">
        <f ca="1">VLOOKUP(VLOOKUP(B186,MSG_New!$B$6:$O$96,MSG_New!C$1,FALSE),energyforms!$B$2:$E$14,4,FALSE)</f>
        <v>e-D-GHw</v>
      </c>
      <c r="E187">
        <f ca="1">VLOOKUP(B186,MSG_New!$B$6:$O$96,MSG_New!F$1,FALSE)</f>
        <v>1</v>
      </c>
    </row>
    <row r="188" spans="1:10" x14ac:dyDescent="0.25">
      <c r="C188" t="s">
        <v>65</v>
      </c>
      <c r="D188" t="str">
        <f ca="1">VLOOKUP(VLOOKUP(B186,MSG_New!$B$6:$O$96,MSG_New!D$1,FALSE),energyforms!$B$2:$E$14,4,FALSE)</f>
        <v>e-A-BUw</v>
      </c>
      <c r="E188" t="s">
        <v>52</v>
      </c>
      <c r="F188">
        <f ca="1">ROUND(VLOOKUP(B186,MSG_New!$B$6:$O$96,MSG_New!G$1,FALSE),3)</f>
        <v>0.97499999999999998</v>
      </c>
    </row>
    <row r="189" spans="1:10" x14ac:dyDescent="0.25">
      <c r="C189" t="s">
        <v>66</v>
      </c>
      <c r="D189" t="s">
        <v>52</v>
      </c>
      <c r="E189">
        <f ca="1">VLOOKUP(B186,MSG_New!$B$6:$O$96,MSG_New!J$1,FALSE)</f>
        <v>50</v>
      </c>
    </row>
    <row r="190" spans="1:10" x14ac:dyDescent="0.25">
      <c r="C190" t="s">
        <v>67</v>
      </c>
      <c r="D190" t="s">
        <v>52</v>
      </c>
      <c r="E190">
        <f ca="1">VLOOKUP(B186,MSG_New!$B$6:$O$96,MSG_New!K$1,FALSE)</f>
        <v>201.7</v>
      </c>
    </row>
    <row r="191" spans="1:10" x14ac:dyDescent="0.25">
      <c r="C191" t="s">
        <v>68</v>
      </c>
      <c r="D191" t="s">
        <v>52</v>
      </c>
      <c r="E191">
        <f ca="1">VLOOKUP(B186,MSG_New!$B$6:$O$96,MSG_New!I$1,FALSE)</f>
        <v>0.99619999999999997</v>
      </c>
    </row>
    <row r="192" spans="1:10" x14ac:dyDescent="0.25">
      <c r="C192" t="s">
        <v>69</v>
      </c>
      <c r="D192" t="s">
        <v>80</v>
      </c>
      <c r="E192" t="s">
        <v>75</v>
      </c>
      <c r="F192" t="str">
        <f ca="1">VLOOKUP(B186,MSG_New!$B$6:$O$96,MSG_New!N$1,FALSE)</f>
        <v>0 0 0 332 0 332 0 0 0 0 0 0</v>
      </c>
    </row>
    <row r="193" spans="1:6" x14ac:dyDescent="0.25">
      <c r="B193" t="s">
        <v>71</v>
      </c>
    </row>
    <row r="194" spans="1:6" x14ac:dyDescent="0.25">
      <c r="A194" s="69">
        <f>A185+1</f>
        <v>42</v>
      </c>
      <c r="B194" t="s">
        <v>63</v>
      </c>
    </row>
    <row r="195" spans="1:6" x14ac:dyDescent="0.25">
      <c r="B195" t="str">
        <f ca="1">OFFSET(MSG_New!$B$5,A194,0)</f>
        <v>ELNChubBUwMAw</v>
      </c>
      <c r="C195" t="str">
        <f ca="1">VLOOKUP(B195,MSG_New!$B$6:$O$96,MSG_New!E$1,FALSE)</f>
        <v>j</v>
      </c>
    </row>
    <row r="196" spans="1:6" x14ac:dyDescent="0.25">
      <c r="C196" t="s">
        <v>64</v>
      </c>
      <c r="D196" t="str">
        <f ca="1">VLOOKUP(VLOOKUP(B195,MSG_New!$B$6:$O$96,MSG_New!C$1,FALSE),energyforms!$B$2:$E$14,4,FALSE)</f>
        <v>e-A-BUw</v>
      </c>
      <c r="E196">
        <f ca="1">VLOOKUP(B195,MSG_New!$B$6:$O$96,MSG_New!F$1,FALSE)</f>
        <v>1</v>
      </c>
    </row>
    <row r="197" spans="1:6" x14ac:dyDescent="0.25">
      <c r="C197" t="s">
        <v>65</v>
      </c>
      <c r="D197" t="str">
        <f ca="1">VLOOKUP(VLOOKUP(B195,MSG_New!$B$6:$O$96,MSG_New!D$1,FALSE),energyforms!$B$2:$E$14,4,FALSE)</f>
        <v>e-H-MAw</v>
      </c>
      <c r="E197" t="s">
        <v>52</v>
      </c>
      <c r="F197">
        <f ca="1">ROUND(VLOOKUP(B195,MSG_New!$B$6:$O$96,MSG_New!G$1,FALSE),3)</f>
        <v>0.93600000000000005</v>
      </c>
    </row>
    <row r="198" spans="1:6" x14ac:dyDescent="0.25">
      <c r="C198" t="s">
        <v>66</v>
      </c>
      <c r="D198" t="s">
        <v>52</v>
      </c>
      <c r="E198">
        <f ca="1">VLOOKUP(B195,MSG_New!$B$6:$O$96,MSG_New!J$1,FALSE)</f>
        <v>50</v>
      </c>
    </row>
    <row r="199" spans="1:6" x14ac:dyDescent="0.25">
      <c r="C199" t="s">
        <v>67</v>
      </c>
      <c r="D199" t="s">
        <v>52</v>
      </c>
      <c r="E199">
        <f ca="1">VLOOKUP(B195,MSG_New!$B$6:$O$96,MSG_New!K$1,FALSE)</f>
        <v>573.9</v>
      </c>
    </row>
    <row r="200" spans="1:6" x14ac:dyDescent="0.25">
      <c r="C200" t="s">
        <v>68</v>
      </c>
      <c r="D200" t="s">
        <v>52</v>
      </c>
      <c r="E200">
        <f ca="1">VLOOKUP(B195,MSG_New!$B$6:$O$96,MSG_New!I$1,FALSE)</f>
        <v>0.99</v>
      </c>
    </row>
    <row r="201" spans="1:6" x14ac:dyDescent="0.25">
      <c r="C201" t="s">
        <v>69</v>
      </c>
      <c r="D201" t="s">
        <v>80</v>
      </c>
      <c r="E201" t="s">
        <v>75</v>
      </c>
      <c r="F201" t="str">
        <f ca="1">VLOOKUP(B195,MSG_New!$B$6:$O$96,MSG_New!N$1,FALSE)</f>
        <v>0 0 0 0 0 306 0 0 0 0 0 0</v>
      </c>
    </row>
    <row r="202" spans="1:6" x14ac:dyDescent="0.25">
      <c r="B202" t="s">
        <v>71</v>
      </c>
    </row>
    <row r="203" spans="1:6" x14ac:dyDescent="0.25">
      <c r="A203" s="69">
        <f>A194+1</f>
        <v>43</v>
      </c>
      <c r="B203" t="s">
        <v>63</v>
      </c>
    </row>
    <row r="204" spans="1:6" x14ac:dyDescent="0.25">
      <c r="B204" t="str">
        <f ca="1">OFFSET(MSG_New!$B$5,A203,0)</f>
        <v>ELNChubMAwCIw</v>
      </c>
      <c r="C204" t="str">
        <f ca="1">VLOOKUP(B204,MSG_New!$B$6:$O$96,MSG_New!E$1,FALSE)</f>
        <v>k</v>
      </c>
    </row>
    <row r="205" spans="1:6" x14ac:dyDescent="0.25">
      <c r="C205" t="s">
        <v>64</v>
      </c>
      <c r="D205" t="str">
        <f ca="1">VLOOKUP(VLOOKUP(B204,MSG_New!$B$6:$O$96,MSG_New!C$1,FALSE),energyforms!$B$2:$E$14,4,FALSE)</f>
        <v>e-H-MAw</v>
      </c>
      <c r="E205">
        <f ca="1">VLOOKUP(B204,MSG_New!$B$6:$O$96,MSG_New!F$1,FALSE)</f>
        <v>1</v>
      </c>
    </row>
    <row r="206" spans="1:6" x14ac:dyDescent="0.25">
      <c r="C206" t="s">
        <v>65</v>
      </c>
      <c r="D206" t="str">
        <f ca="1">VLOOKUP(VLOOKUP(B204,MSG_New!$B$6:$O$96,MSG_New!D$1,FALSE),energyforms!$B$2:$E$14,4,FALSE)</f>
        <v>e-B-CIw</v>
      </c>
      <c r="E206" t="s">
        <v>52</v>
      </c>
      <c r="F206">
        <f ca="1">ROUND(VLOOKUP(B204,MSG_New!$B$6:$O$96,MSG_New!G$1,FALSE),3)</f>
        <v>0.95699999999999996</v>
      </c>
    </row>
    <row r="207" spans="1:6" x14ac:dyDescent="0.25">
      <c r="C207" t="s">
        <v>66</v>
      </c>
      <c r="D207" t="s">
        <v>52</v>
      </c>
      <c r="E207">
        <f ca="1">VLOOKUP(B204,MSG_New!$B$6:$O$96,MSG_New!J$1,FALSE)</f>
        <v>50</v>
      </c>
    </row>
    <row r="208" spans="1:6" x14ac:dyDescent="0.25">
      <c r="C208" t="s">
        <v>67</v>
      </c>
      <c r="D208" t="s">
        <v>52</v>
      </c>
      <c r="E208">
        <f ca="1">VLOOKUP(B204,MSG_New!$B$6:$O$96,MSG_New!K$1,FALSE)</f>
        <v>428.3</v>
      </c>
    </row>
    <row r="209" spans="1:6" x14ac:dyDescent="0.25">
      <c r="C209" t="s">
        <v>68</v>
      </c>
      <c r="D209" t="s">
        <v>52</v>
      </c>
      <c r="E209">
        <f ca="1">VLOOKUP(B204,MSG_New!$B$6:$O$96,MSG_New!I$1,FALSE)</f>
        <v>0.99319999999999997</v>
      </c>
    </row>
    <row r="210" spans="1:6" x14ac:dyDescent="0.25">
      <c r="C210" t="s">
        <v>69</v>
      </c>
      <c r="D210" t="s">
        <v>80</v>
      </c>
      <c r="E210" t="s">
        <v>75</v>
      </c>
      <c r="F210" t="str">
        <f ca="1">VLOOKUP(B204,MSG_New!$B$6:$O$96,MSG_New!N$1,FALSE)</f>
        <v>0 0 320 0 0 0 0 0 0 0 0 0</v>
      </c>
    </row>
    <row r="211" spans="1:6" x14ac:dyDescent="0.25">
      <c r="B211" t="s">
        <v>71</v>
      </c>
    </row>
    <row r="212" spans="1:6" x14ac:dyDescent="0.25">
      <c r="A212" s="77">
        <f>A203+4</f>
        <v>47</v>
      </c>
      <c r="B212" t="s">
        <v>63</v>
      </c>
    </row>
    <row r="213" spans="1:6" x14ac:dyDescent="0.25">
      <c r="B213" t="str">
        <f ca="1">OFFSET(MSG_New!$B$5,A212,0)</f>
        <v>ELNChubBUwGHw</v>
      </c>
      <c r="C213" t="str">
        <f ca="1">VLOOKUP(B213,MSG_New!$B$6:$O$96,MSG_New!E$1,FALSE)</f>
        <v>k</v>
      </c>
    </row>
    <row r="214" spans="1:6" x14ac:dyDescent="0.25">
      <c r="C214" t="s">
        <v>64</v>
      </c>
      <c r="D214" t="str">
        <f ca="1">VLOOKUP(VLOOKUP(B213,MSG_New!$B$6:$O$96,MSG_New!C$1,FALSE),energyforms!$B$2:$E$14,4,FALSE)</f>
        <v>e-A-BUw</v>
      </c>
      <c r="E214">
        <f ca="1">VLOOKUP(B213,MSG_New!$B$6:$O$96,MSG_New!F$1,FALSE)</f>
        <v>1</v>
      </c>
    </row>
    <row r="215" spans="1:6" x14ac:dyDescent="0.25">
      <c r="C215" t="s">
        <v>65</v>
      </c>
      <c r="D215" t="str">
        <f ca="1">VLOOKUP(VLOOKUP(B213,MSG_New!$B$6:$O$96,MSG_New!D$1,FALSE),energyforms!$B$2:$E$14,4,FALSE)</f>
        <v>e-D-GHw</v>
      </c>
      <c r="E215" t="s">
        <v>52</v>
      </c>
      <c r="F215">
        <f ca="1">ROUND(VLOOKUP(B213,MSG_New!$B$6:$O$96,MSG_New!G$1,FALSE),3)</f>
        <v>0.97499999999999998</v>
      </c>
    </row>
    <row r="216" spans="1:6" x14ac:dyDescent="0.25">
      <c r="C216" t="s">
        <v>66</v>
      </c>
      <c r="D216" t="s">
        <v>52</v>
      </c>
      <c r="E216">
        <f ca="1">VLOOKUP(B213,MSG_New!$B$6:$O$96,MSG_New!J$1,FALSE)</f>
        <v>50</v>
      </c>
    </row>
    <row r="217" spans="1:6" x14ac:dyDescent="0.25">
      <c r="C217" t="s">
        <v>67</v>
      </c>
      <c r="D217" t="s">
        <v>52</v>
      </c>
      <c r="E217">
        <f ca="1">VLOOKUP(B213,MSG_New!$B$6:$O$96,MSG_New!K$1,FALSE)</f>
        <v>0</v>
      </c>
    </row>
    <row r="218" spans="1:6" x14ac:dyDescent="0.25">
      <c r="C218" t="s">
        <v>68</v>
      </c>
      <c r="D218" t="s">
        <v>52</v>
      </c>
      <c r="E218">
        <f ca="1">VLOOKUP(B213,MSG_New!$B$6:$O$96,MSG_New!I$1,FALSE)</f>
        <v>0.99619999999999997</v>
      </c>
    </row>
    <row r="219" spans="1:6" x14ac:dyDescent="0.25">
      <c r="C219" t="s">
        <v>69</v>
      </c>
      <c r="D219" t="s">
        <v>80</v>
      </c>
      <c r="E219" t="s">
        <v>75</v>
      </c>
      <c r="F219" t="str">
        <f ca="1">VLOOKUP(B213,MSG_New!$B$6:$O$96,MSG_New!N$1,FALSE)</f>
        <v>0 0 0 332 0 332 0 0 0 0 0 0</v>
      </c>
    </row>
    <row r="220" spans="1:6" x14ac:dyDescent="0.25">
      <c r="B220" t="s">
        <v>71</v>
      </c>
    </row>
    <row r="221" spans="1:6" x14ac:dyDescent="0.25">
      <c r="A221" s="69">
        <f>A212+1</f>
        <v>48</v>
      </c>
      <c r="B221" t="s">
        <v>63</v>
      </c>
    </row>
    <row r="222" spans="1:6" x14ac:dyDescent="0.25">
      <c r="B222" t="str">
        <f ca="1">OFFSET(MSG_New!$B$5,A221,0)</f>
        <v>ELNChubMAwBUw</v>
      </c>
      <c r="C222" t="str">
        <f ca="1">VLOOKUP(B222,MSG_New!$B$6:$O$96,MSG_New!E$1,FALSE)</f>
        <v>k</v>
      </c>
    </row>
    <row r="223" spans="1:6" x14ac:dyDescent="0.25">
      <c r="C223" t="s">
        <v>64</v>
      </c>
      <c r="D223" t="str">
        <f ca="1">VLOOKUP(VLOOKUP(B222,MSG_New!$B$6:$O$96,MSG_New!C$1,FALSE),energyforms!$B$2:$E$14,4,FALSE)</f>
        <v>e-H-MAw</v>
      </c>
      <c r="E223">
        <f ca="1">VLOOKUP(B222,MSG_New!$B$6:$O$96,MSG_New!F$1,FALSE)</f>
        <v>1</v>
      </c>
    </row>
    <row r="224" spans="1:6" x14ac:dyDescent="0.25">
      <c r="C224" t="s">
        <v>65</v>
      </c>
      <c r="D224" t="str">
        <f ca="1">VLOOKUP(VLOOKUP(B222,MSG_New!$B$6:$O$96,MSG_New!D$1,FALSE),energyforms!$B$2:$E$14,4,FALSE)</f>
        <v>e-A-BUw</v>
      </c>
      <c r="E224" t="s">
        <v>52</v>
      </c>
      <c r="F224">
        <f ca="1">ROUND(VLOOKUP(B222,MSG_New!$B$6:$O$96,MSG_New!G$1,FALSE),3)</f>
        <v>0.93600000000000005</v>
      </c>
    </row>
    <row r="225" spans="1:10" x14ac:dyDescent="0.25">
      <c r="C225" t="s">
        <v>66</v>
      </c>
      <c r="D225" t="s">
        <v>52</v>
      </c>
      <c r="E225">
        <f ca="1">VLOOKUP(B222,MSG_New!$B$6:$O$96,MSG_New!J$1,FALSE)</f>
        <v>50</v>
      </c>
    </row>
    <row r="226" spans="1:10" x14ac:dyDescent="0.25">
      <c r="C226" t="s">
        <v>67</v>
      </c>
      <c r="D226" t="s">
        <v>52</v>
      </c>
      <c r="E226">
        <f ca="1">VLOOKUP(B222,MSG_New!$B$6:$O$96,MSG_New!K$1,FALSE)</f>
        <v>0</v>
      </c>
    </row>
    <row r="227" spans="1:10" x14ac:dyDescent="0.25">
      <c r="C227" t="s">
        <v>68</v>
      </c>
      <c r="D227" t="s">
        <v>52</v>
      </c>
      <c r="E227">
        <f ca="1">VLOOKUP(B222,MSG_New!$B$6:$O$96,MSG_New!I$1,FALSE)</f>
        <v>0.99</v>
      </c>
    </row>
    <row r="228" spans="1:10" x14ac:dyDescent="0.25">
      <c r="C228" t="s">
        <v>69</v>
      </c>
      <c r="D228" t="s">
        <v>80</v>
      </c>
      <c r="E228" t="s">
        <v>75</v>
      </c>
      <c r="F228" t="str">
        <f ca="1">VLOOKUP(B222,MSG_New!$B$6:$O$96,MSG_New!N$1,FALSE)</f>
        <v>0 0 0 0 0 306 0 0 0 0 0 0</v>
      </c>
    </row>
    <row r="229" spans="1:10" x14ac:dyDescent="0.25">
      <c r="B229" t="s">
        <v>71</v>
      </c>
    </row>
    <row r="230" spans="1:10" x14ac:dyDescent="0.25">
      <c r="A230" s="69">
        <f>A221+1</f>
        <v>49</v>
      </c>
      <c r="B230" t="s">
        <v>63</v>
      </c>
    </row>
    <row r="231" spans="1:10" x14ac:dyDescent="0.25">
      <c r="B231" t="str">
        <f ca="1">OFFSET(MSG_New!$B$5,A230,0)</f>
        <v>ELNChubCIwMAw</v>
      </c>
      <c r="C231" t="str">
        <f ca="1">VLOOKUP(B231,MSG_New!$B$6:$O$96,MSG_New!E$1,FALSE)</f>
        <v>k</v>
      </c>
    </row>
    <row r="232" spans="1:10" x14ac:dyDescent="0.25">
      <c r="C232" t="s">
        <v>64</v>
      </c>
      <c r="D232" t="str">
        <f ca="1">VLOOKUP(VLOOKUP(B231,MSG_New!$B$6:$O$96,MSG_New!C$1,FALSE),energyforms!$B$2:$E$14,4,FALSE)</f>
        <v>e-B-CIw</v>
      </c>
      <c r="E232">
        <f ca="1">VLOOKUP(B231,MSG_New!$B$6:$O$96,MSG_New!F$1,FALSE)</f>
        <v>1</v>
      </c>
    </row>
    <row r="233" spans="1:10" x14ac:dyDescent="0.25">
      <c r="C233" t="s">
        <v>65</v>
      </c>
      <c r="D233" t="str">
        <f ca="1">VLOOKUP(VLOOKUP(B231,MSG_New!$B$6:$O$96,MSG_New!D$1,FALSE),energyforms!$B$2:$E$14,4,FALSE)</f>
        <v>e-H-MAw</v>
      </c>
      <c r="E233" t="s">
        <v>52</v>
      </c>
      <c r="F233">
        <f ca="1">ROUND(VLOOKUP(B231,MSG_New!$B$6:$O$96,MSG_New!G$1,FALSE),3)</f>
        <v>0.95699999999999996</v>
      </c>
    </row>
    <row r="234" spans="1:10" x14ac:dyDescent="0.25">
      <c r="C234" t="s">
        <v>66</v>
      </c>
      <c r="D234" t="s">
        <v>52</v>
      </c>
      <c r="E234">
        <f ca="1">VLOOKUP(B231,MSG_New!$B$6:$O$96,MSG_New!J$1,FALSE)</f>
        <v>50</v>
      </c>
    </row>
    <row r="235" spans="1:10" x14ac:dyDescent="0.25">
      <c r="C235" t="s">
        <v>67</v>
      </c>
      <c r="D235" t="s">
        <v>52</v>
      </c>
      <c r="E235">
        <f ca="1">VLOOKUP(B231,MSG_New!$B$6:$O$96,MSG_New!K$1,FALSE)</f>
        <v>0</v>
      </c>
    </row>
    <row r="236" spans="1:10" x14ac:dyDescent="0.25">
      <c r="C236" t="s">
        <v>68</v>
      </c>
      <c r="D236" t="s">
        <v>52</v>
      </c>
      <c r="E236">
        <f ca="1">VLOOKUP(B231,MSG_New!$B$6:$O$96,MSG_New!I$1,FALSE)</f>
        <v>0.99319999999999997</v>
      </c>
    </row>
    <row r="237" spans="1:10" x14ac:dyDescent="0.25">
      <c r="C237" t="s">
        <v>69</v>
      </c>
      <c r="D237" t="s">
        <v>80</v>
      </c>
      <c r="E237" t="s">
        <v>75</v>
      </c>
      <c r="F237" t="str">
        <f ca="1">VLOOKUP(B231,MSG_New!$B$6:$O$96,MSG_New!N$1,FALSE)</f>
        <v>0 0 320 0 0 0 0 0 0 0 0 0</v>
      </c>
    </row>
    <row r="238" spans="1:10" x14ac:dyDescent="0.25">
      <c r="B238" t="s">
        <v>71</v>
      </c>
    </row>
    <row r="239" spans="1:10" s="73" customFormat="1" x14ac:dyDescent="0.25">
      <c r="J239" s="73" t="str">
        <f>MSG_New!B57</f>
        <v>Corridor Nord</v>
      </c>
    </row>
    <row r="240" spans="1:10" x14ac:dyDescent="0.25">
      <c r="A240" s="69">
        <f>A172+1</f>
        <v>1</v>
      </c>
      <c r="B240" t="s">
        <v>63</v>
      </c>
    </row>
    <row r="241" spans="1:6" x14ac:dyDescent="0.25">
      <c r="B241" t="str">
        <f ca="1">OFFSET(MSG_New!$B$58,A240,0)</f>
        <v>ELNUCoNNGwNIw</v>
      </c>
      <c r="C241" t="str">
        <f ca="1">VLOOKUP(B241,MSG_New!$B$6:$O$96,MSG_New!E$1,FALSE)</f>
        <v>i</v>
      </c>
    </row>
    <row r="242" spans="1:6" x14ac:dyDescent="0.25">
      <c r="C242" t="s">
        <v>64</v>
      </c>
      <c r="D242" t="str">
        <f ca="1">VLOOKUP(VLOOKUP(B241,MSG_New!$B$6:$O$96,MSG_New!C$1,FALSE),energyforms!$B$2:$E$14,4,FALSE)</f>
        <v>e-J-NGw</v>
      </c>
      <c r="E242">
        <f ca="1">VLOOKUP(B241,MSG_New!$B$6:$O$96,MSG_New!F$1,FALSE)</f>
        <v>1</v>
      </c>
    </row>
    <row r="243" spans="1:6" x14ac:dyDescent="0.25">
      <c r="C243" t="s">
        <v>65</v>
      </c>
      <c r="D243" t="str">
        <f ca="1">VLOOKUP(VLOOKUP(B241,MSG_New!$B$6:$O$96,MSG_New!D$1,FALSE),energyforms!$B$2:$E$14,4,FALSE)</f>
        <v>e-I-NIw</v>
      </c>
      <c r="E243" t="s">
        <v>52</v>
      </c>
      <c r="F243">
        <f ca="1">ROUND(VLOOKUP(B241,MSG_New!$B$6:$O$96,MSG_New!G$1,FALSE),3)</f>
        <v>0.96899999999999997</v>
      </c>
    </row>
    <row r="244" spans="1:6" x14ac:dyDescent="0.25">
      <c r="C244" t="s">
        <v>78</v>
      </c>
      <c r="D244">
        <f ca="1">VLOOKUP(B241,MSG_New!$B$6:$O$96,MSG_New!H$1,FALSE)</f>
        <v>2016</v>
      </c>
    </row>
    <row r="245" spans="1:6" x14ac:dyDescent="0.25">
      <c r="C245" t="s">
        <v>66</v>
      </c>
      <c r="D245" t="s">
        <v>52</v>
      </c>
      <c r="E245">
        <f ca="1">VLOOKUP(B241,MSG_New!$B$6:$O$96,MSG_New!J$1,FALSE)</f>
        <v>50</v>
      </c>
    </row>
    <row r="246" spans="1:6" x14ac:dyDescent="0.25">
      <c r="C246" t="s">
        <v>67</v>
      </c>
      <c r="D246" t="s">
        <v>52</v>
      </c>
      <c r="E246">
        <f ca="1">VLOOKUP(B241,MSG_New!$B$6:$O$96,MSG_New!K$1,FALSE)</f>
        <v>219.1</v>
      </c>
    </row>
    <row r="247" spans="1:6" x14ac:dyDescent="0.25">
      <c r="C247" t="s">
        <v>68</v>
      </c>
      <c r="D247" t="s">
        <v>52</v>
      </c>
      <c r="E247">
        <f ca="1">VLOOKUP(B241,MSG_New!$B$6:$O$96,MSG_New!I$1,FALSE)</f>
        <v>0.99509999999999998</v>
      </c>
    </row>
    <row r="248" spans="1:6" x14ac:dyDescent="0.25">
      <c r="C248" t="str">
        <f ca="1">IF($F248="","","bdc")</f>
        <v/>
      </c>
      <c r="D248" t="str">
        <f ca="1">IF($F248="","","up")</f>
        <v/>
      </c>
      <c r="E248" t="str">
        <f ca="1">IF($F248="","","c")</f>
        <v/>
      </c>
      <c r="F248" t="str">
        <f ca="1">VLOOKUP(B241,MSG_New!$B$6:$O$96,MSG_New!M$1,FALSE)</f>
        <v/>
      </c>
    </row>
    <row r="249" spans="1:6" x14ac:dyDescent="0.25">
      <c r="C249" t="s">
        <v>81</v>
      </c>
      <c r="D249" t="s">
        <v>74</v>
      </c>
      <c r="E249" t="s">
        <v>52</v>
      </c>
      <c r="F249">
        <f ca="1">ROUND(VLOOKUP(B241,MSG_New!$B$6:$O$96,MSG_New!L$1,FALSE),0)</f>
        <v>653</v>
      </c>
    </row>
    <row r="250" spans="1:6" x14ac:dyDescent="0.25">
      <c r="C250" t="s">
        <v>70</v>
      </c>
      <c r="D250" t="str">
        <f ca="1">VLOOKUP(B241,MSG_New!$B$6:$O$96,MSG_New!N$1,FALSE)&amp;":tin"</f>
        <v>CNN1:tin</v>
      </c>
      <c r="E250" t="s">
        <v>52</v>
      </c>
      <c r="F250">
        <f ca="1">VLOOKUP(B241,MSG_New!$B$6:$O$96,MSG_New!O$1,FALSE)</f>
        <v>1</v>
      </c>
    </row>
    <row r="251" spans="1:6" x14ac:dyDescent="0.25">
      <c r="B251" t="s">
        <v>71</v>
      </c>
    </row>
    <row r="252" spans="1:6" x14ac:dyDescent="0.25">
      <c r="A252" s="69">
        <f>A240+1</f>
        <v>2</v>
      </c>
      <c r="B252" t="s">
        <v>63</v>
      </c>
    </row>
    <row r="253" spans="1:6" x14ac:dyDescent="0.25">
      <c r="B253" t="str">
        <f ca="1">OFFSET(MSG_New!$B$58,A252,0)</f>
        <v>ELNUCoNNIwTBw</v>
      </c>
      <c r="C253" t="str">
        <f ca="1">VLOOKUP(B253,MSG_New!$B$6:$O$96,MSG_New!E$1,FALSE)</f>
        <v>j</v>
      </c>
    </row>
    <row r="254" spans="1:6" x14ac:dyDescent="0.25">
      <c r="C254" t="s">
        <v>64</v>
      </c>
      <c r="D254" t="str">
        <f ca="1">VLOOKUP(VLOOKUP(B253,MSG_New!$B$6:$O$96,MSG_New!C$1,FALSE),energyforms!$B$2:$E$14,4,FALSE)</f>
        <v>e-I-NIw</v>
      </c>
      <c r="E254">
        <f ca="1">VLOOKUP(B253,MSG_New!$B$6:$O$96,MSG_New!F$1,FALSE)</f>
        <v>1</v>
      </c>
    </row>
    <row r="255" spans="1:6" x14ac:dyDescent="0.25">
      <c r="C255" t="s">
        <v>65</v>
      </c>
      <c r="D255" t="str">
        <f ca="1">VLOOKUP(VLOOKUP(B253,MSG_New!$B$6:$O$96,MSG_New!D$1,FALSE),energyforms!$B$2:$E$14,4,FALSE)</f>
        <v>e-M-TBw</v>
      </c>
      <c r="E255" t="s">
        <v>52</v>
      </c>
      <c r="F255">
        <f ca="1">ROUND(VLOOKUP(B253,MSG_New!$B$6:$O$96,MSG_New!G$1,FALSE),3)</f>
        <v>0.96299999999999997</v>
      </c>
    </row>
    <row r="256" spans="1:6" x14ac:dyDescent="0.25">
      <c r="C256" t="s">
        <v>78</v>
      </c>
      <c r="D256">
        <f ca="1">VLOOKUP(B253,MSG_New!$B$6:$O$96,MSG_New!H$1,FALSE)</f>
        <v>2016</v>
      </c>
    </row>
    <row r="257" spans="1:6" x14ac:dyDescent="0.25">
      <c r="C257" t="s">
        <v>66</v>
      </c>
      <c r="D257" t="s">
        <v>52</v>
      </c>
      <c r="E257">
        <f ca="1">VLOOKUP(B253,MSG_New!$B$6:$O$96,MSG_New!J$1,FALSE)</f>
        <v>50</v>
      </c>
    </row>
    <row r="258" spans="1:6" x14ac:dyDescent="0.25">
      <c r="C258" t="s">
        <v>67</v>
      </c>
      <c r="D258" t="s">
        <v>52</v>
      </c>
      <c r="E258">
        <f ca="1">VLOOKUP(B253,MSG_New!$B$6:$O$96,MSG_New!K$1,FALSE)</f>
        <v>256.39999999999998</v>
      </c>
    </row>
    <row r="259" spans="1:6" x14ac:dyDescent="0.25">
      <c r="C259" t="s">
        <v>68</v>
      </c>
      <c r="D259" t="s">
        <v>52</v>
      </c>
      <c r="E259">
        <f ca="1">VLOOKUP(B253,MSG_New!$B$6:$O$96,MSG_New!I$1,FALSE)</f>
        <v>0.99429999999999996</v>
      </c>
    </row>
    <row r="260" spans="1:6" x14ac:dyDescent="0.25">
      <c r="C260" t="str">
        <f ca="1">IF($F260="","","bdc")</f>
        <v/>
      </c>
      <c r="D260" t="str">
        <f ca="1">IF($F260="","","up")</f>
        <v/>
      </c>
      <c r="E260" t="str">
        <f ca="1">IF($F260="","","c")</f>
        <v/>
      </c>
      <c r="F260" t="str">
        <f ca="1">VLOOKUP(B253,MSG_New!$B$6:$O$96,MSG_New!M$1,FALSE)</f>
        <v/>
      </c>
    </row>
    <row r="261" spans="1:6" x14ac:dyDescent="0.25">
      <c r="C261" t="s">
        <v>81</v>
      </c>
      <c r="D261" t="s">
        <v>74</v>
      </c>
      <c r="E261" t="s">
        <v>52</v>
      </c>
      <c r="F261">
        <f ca="1">ROUND(VLOOKUP(B253,MSG_New!$B$6:$O$96,MSG_New!L$1,FALSE),0)</f>
        <v>650</v>
      </c>
    </row>
    <row r="262" spans="1:6" x14ac:dyDescent="0.25">
      <c r="C262" t="s">
        <v>70</v>
      </c>
      <c r="D262" t="str">
        <f ca="1">VLOOKUP(B253,MSG_New!$B$6:$O$96,MSG_New!N$1,FALSE)&amp;":tin"</f>
        <v>CNT1:tin</v>
      </c>
      <c r="E262" t="s">
        <v>52</v>
      </c>
      <c r="F262">
        <f ca="1">VLOOKUP(B253,MSG_New!$B$6:$O$96,MSG_New!O$1,FALSE)</f>
        <v>1</v>
      </c>
    </row>
    <row r="263" spans="1:6" x14ac:dyDescent="0.25">
      <c r="B263" t="s">
        <v>71</v>
      </c>
    </row>
    <row r="264" spans="1:6" x14ac:dyDescent="0.25">
      <c r="A264" s="69">
        <f>A252+1</f>
        <v>3</v>
      </c>
      <c r="B264" t="s">
        <v>63</v>
      </c>
    </row>
    <row r="265" spans="1:6" x14ac:dyDescent="0.25">
      <c r="B265" t="str">
        <f ca="1">OFFSET(MSG_New!$B$58,A264,0)</f>
        <v>ELNUCoNNIwBUw</v>
      </c>
      <c r="C265" t="str">
        <f ca="1">VLOOKUP(B265,MSG_New!$B$6:$O$96,MSG_New!E$1,FALSE)</f>
        <v>i</v>
      </c>
    </row>
    <row r="266" spans="1:6" x14ac:dyDescent="0.25">
      <c r="C266" t="s">
        <v>64</v>
      </c>
      <c r="D266" t="str">
        <f ca="1">VLOOKUP(VLOOKUP(B265,MSG_New!$B$6:$O$96,MSG_New!C$1,FALSE),energyforms!$B$2:$E$14,4,FALSE)</f>
        <v>e-I-NIw</v>
      </c>
      <c r="E266">
        <f ca="1">VLOOKUP(B265,MSG_New!$B$6:$O$96,MSG_New!F$1,FALSE)</f>
        <v>1</v>
      </c>
    </row>
    <row r="267" spans="1:6" x14ac:dyDescent="0.25">
      <c r="C267" t="s">
        <v>65</v>
      </c>
      <c r="D267" t="str">
        <f ca="1">VLOOKUP(VLOOKUP(B265,MSG_New!$B$6:$O$96,MSG_New!D$1,FALSE),energyforms!$B$2:$E$14,4,FALSE)</f>
        <v>e-A-BUw</v>
      </c>
      <c r="E267" t="s">
        <v>52</v>
      </c>
      <c r="F267">
        <f ca="1">ROUND(VLOOKUP(B265,MSG_New!$B$6:$O$96,MSG_New!G$1,FALSE),3)</f>
        <v>0.94499999999999995</v>
      </c>
    </row>
    <row r="268" spans="1:6" x14ac:dyDescent="0.25">
      <c r="C268" t="s">
        <v>78</v>
      </c>
      <c r="D268">
        <f ca="1">VLOOKUP(B265,MSG_New!$B$6:$O$96,MSG_New!H$1,FALSE)</f>
        <v>2016</v>
      </c>
    </row>
    <row r="269" spans="1:6" x14ac:dyDescent="0.25">
      <c r="C269" t="s">
        <v>66</v>
      </c>
      <c r="D269" t="s">
        <v>52</v>
      </c>
      <c r="E269">
        <f ca="1">VLOOKUP(B265,MSG_New!$B$6:$O$96,MSG_New!J$1,FALSE)</f>
        <v>50</v>
      </c>
    </row>
    <row r="270" spans="1:6" x14ac:dyDescent="0.25">
      <c r="C270" t="s">
        <v>67</v>
      </c>
      <c r="D270" t="s">
        <v>52</v>
      </c>
      <c r="E270">
        <f ca="1">VLOOKUP(B265,MSG_New!$B$6:$O$96,MSG_New!K$1,FALSE)</f>
        <v>392.8</v>
      </c>
    </row>
    <row r="271" spans="1:6" x14ac:dyDescent="0.25">
      <c r="C271" t="s">
        <v>68</v>
      </c>
      <c r="D271" t="s">
        <v>52</v>
      </c>
      <c r="E271">
        <f ca="1">VLOOKUP(B265,MSG_New!$B$6:$O$96,MSG_New!I$1,FALSE)</f>
        <v>0.99139999999999995</v>
      </c>
    </row>
    <row r="272" spans="1:6" x14ac:dyDescent="0.25">
      <c r="C272" t="str">
        <f ca="1">IF($F272="","","bdc")</f>
        <v/>
      </c>
      <c r="D272" t="str">
        <f ca="1">IF($F272="","","up")</f>
        <v/>
      </c>
      <c r="E272" t="str">
        <f ca="1">IF($F272="","","c")</f>
        <v/>
      </c>
      <c r="F272" t="str">
        <f ca="1">VLOOKUP(B265,MSG_New!$B$6:$O$96,MSG_New!M$1,FALSE)</f>
        <v/>
      </c>
    </row>
    <row r="273" spans="1:6" x14ac:dyDescent="0.25">
      <c r="C273" t="s">
        <v>81</v>
      </c>
      <c r="D273" t="s">
        <v>74</v>
      </c>
      <c r="E273" t="s">
        <v>52</v>
      </c>
      <c r="F273">
        <f ca="1">ROUND(VLOOKUP(B265,MSG_New!$B$6:$O$96,MSG_New!L$1,FALSE),0)</f>
        <v>637</v>
      </c>
    </row>
    <row r="274" spans="1:6" x14ac:dyDescent="0.25">
      <c r="C274" t="s">
        <v>70</v>
      </c>
      <c r="D274" t="str">
        <f ca="1">VLOOKUP(B265,MSG_New!$B$6:$O$96,MSG_New!N$1,FALSE)&amp;":tin"</f>
        <v>CNB1:tin</v>
      </c>
      <c r="E274" t="s">
        <v>52</v>
      </c>
      <c r="F274">
        <f ca="1">VLOOKUP(B265,MSG_New!$B$6:$O$96,MSG_New!O$1,FALSE)</f>
        <v>1</v>
      </c>
    </row>
    <row r="275" spans="1:6" x14ac:dyDescent="0.25">
      <c r="B275" t="s">
        <v>71</v>
      </c>
    </row>
    <row r="276" spans="1:6" x14ac:dyDescent="0.25">
      <c r="A276" s="77">
        <v>7</v>
      </c>
      <c r="B276" t="s">
        <v>63</v>
      </c>
    </row>
    <row r="277" spans="1:6" x14ac:dyDescent="0.25">
      <c r="B277" t="str">
        <f ca="1">OFFSET(MSG_New!$B$58,A276,0)</f>
        <v>ELNUCoNNIwNGw</v>
      </c>
      <c r="C277" t="str">
        <f ca="1">VLOOKUP(B277,MSG_New!$B$6:$O$96,MSG_New!E$1,FALSE)</f>
        <v>i</v>
      </c>
    </row>
    <row r="278" spans="1:6" x14ac:dyDescent="0.25">
      <c r="C278" t="s">
        <v>64</v>
      </c>
      <c r="D278" t="str">
        <f ca="1">VLOOKUP(VLOOKUP(B277,MSG_New!$B$6:$O$96,MSG_New!C$1,FALSE),energyforms!$B$2:$E$14,4,FALSE)</f>
        <v>e-I-NIw</v>
      </c>
      <c r="E278">
        <f ca="1">VLOOKUP(B277,MSG_New!$B$6:$O$96,MSG_New!F$1,FALSE)</f>
        <v>1</v>
      </c>
    </row>
    <row r="279" spans="1:6" x14ac:dyDescent="0.25">
      <c r="C279" t="s">
        <v>65</v>
      </c>
      <c r="D279" t="str">
        <f ca="1">VLOOKUP(VLOOKUP(B277,MSG_New!$B$6:$O$96,MSG_New!D$1,FALSE),energyforms!$B$2:$E$14,4,FALSE)</f>
        <v>e-J-NGw</v>
      </c>
      <c r="E279" t="s">
        <v>52</v>
      </c>
      <c r="F279">
        <f ca="1">ROUND(VLOOKUP(B277,MSG_New!$B$6:$O$96,MSG_New!G$1,FALSE),3)</f>
        <v>0.96899999999999997</v>
      </c>
    </row>
    <row r="280" spans="1:6" x14ac:dyDescent="0.25">
      <c r="C280" t="s">
        <v>78</v>
      </c>
      <c r="D280">
        <f ca="1">VLOOKUP(B277,MSG_New!$B$6:$O$96,MSG_New!H$1,FALSE)</f>
        <v>2016</v>
      </c>
    </row>
    <row r="281" spans="1:6" x14ac:dyDescent="0.25">
      <c r="C281" t="s">
        <v>66</v>
      </c>
      <c r="D281" t="s">
        <v>52</v>
      </c>
      <c r="E281">
        <f ca="1">VLOOKUP(B277,MSG_New!$B$6:$O$96,MSG_New!J$1,FALSE)</f>
        <v>50</v>
      </c>
    </row>
    <row r="282" spans="1:6" x14ac:dyDescent="0.25">
      <c r="C282" t="s">
        <v>67</v>
      </c>
      <c r="D282" t="s">
        <v>52</v>
      </c>
      <c r="E282">
        <f ca="1">VLOOKUP(B277,MSG_New!$B$6:$O$96,MSG_New!K$1,FALSE)</f>
        <v>0</v>
      </c>
    </row>
    <row r="283" spans="1:6" x14ac:dyDescent="0.25">
      <c r="C283" t="s">
        <v>68</v>
      </c>
      <c r="D283" t="s">
        <v>52</v>
      </c>
      <c r="E283">
        <f ca="1">VLOOKUP(B277,MSG_New!$B$6:$O$96,MSG_New!I$1,FALSE)</f>
        <v>0.99509999999999998</v>
      </c>
    </row>
    <row r="284" spans="1:6" x14ac:dyDescent="0.25">
      <c r="C284" t="str">
        <f ca="1">IF($F284="","","bdc")</f>
        <v/>
      </c>
      <c r="D284" t="str">
        <f ca="1">IF($F284="","","up")</f>
        <v/>
      </c>
      <c r="E284" t="str">
        <f ca="1">IF($F284="","","c")</f>
        <v/>
      </c>
      <c r="F284" t="str">
        <f ca="1">VLOOKUP(B277,MSG_New!$B$6:$O$96,MSG_New!M$1,FALSE)</f>
        <v/>
      </c>
    </row>
    <row r="285" spans="1:6" x14ac:dyDescent="0.25">
      <c r="C285" t="s">
        <v>81</v>
      </c>
      <c r="D285" t="s">
        <v>74</v>
      </c>
      <c r="E285" t="s">
        <v>52</v>
      </c>
      <c r="F285">
        <f ca="1">ROUND(VLOOKUP(B277,MSG_New!$B$6:$O$96,MSG_New!L$1,FALSE),0)</f>
        <v>653</v>
      </c>
    </row>
    <row r="286" spans="1:6" x14ac:dyDescent="0.25">
      <c r="C286" t="s">
        <v>70</v>
      </c>
      <c r="D286" t="str">
        <f ca="1">VLOOKUP(B277,MSG_New!$B$6:$O$96,MSG_New!N$1,FALSE)&amp;":tin"</f>
        <v>CNN1:tin</v>
      </c>
      <c r="E286" t="s">
        <v>52</v>
      </c>
      <c r="F286">
        <f ca="1">VLOOKUP(B277,MSG_New!$B$6:$O$96,MSG_New!O$1,FALSE)</f>
        <v>-1</v>
      </c>
    </row>
    <row r="287" spans="1:6" x14ac:dyDescent="0.25">
      <c r="B287" t="s">
        <v>71</v>
      </c>
    </row>
    <row r="288" spans="1:6" x14ac:dyDescent="0.25">
      <c r="A288" s="69">
        <f>A276+1</f>
        <v>8</v>
      </c>
      <c r="B288" t="s">
        <v>63</v>
      </c>
    </row>
    <row r="289" spans="1:6" x14ac:dyDescent="0.25">
      <c r="B289" t="str">
        <f ca="1">OFFSET(MSG_New!$B$58,A288,0)</f>
        <v>ELNUCoNTBwNIw</v>
      </c>
      <c r="C289" t="str">
        <f ca="1">VLOOKUP(B289,MSG_New!$B$6:$O$96,MSG_New!E$1,FALSE)</f>
        <v>j</v>
      </c>
    </row>
    <row r="290" spans="1:6" x14ac:dyDescent="0.25">
      <c r="C290" t="s">
        <v>64</v>
      </c>
      <c r="D290" t="str">
        <f ca="1">VLOOKUP(VLOOKUP(B289,MSG_New!$B$6:$O$96,MSG_New!C$1,FALSE),energyforms!$B$2:$E$14,4,FALSE)</f>
        <v>e-M-TBw</v>
      </c>
      <c r="E290">
        <f ca="1">VLOOKUP(B289,MSG_New!$B$6:$O$96,MSG_New!F$1,FALSE)</f>
        <v>1</v>
      </c>
    </row>
    <row r="291" spans="1:6" x14ac:dyDescent="0.25">
      <c r="C291" t="s">
        <v>65</v>
      </c>
      <c r="D291" t="str">
        <f ca="1">VLOOKUP(VLOOKUP(B289,MSG_New!$B$6:$O$96,MSG_New!D$1,FALSE),energyforms!$B$2:$E$14,4,FALSE)</f>
        <v>e-I-NIw</v>
      </c>
      <c r="E291" t="s">
        <v>52</v>
      </c>
      <c r="F291">
        <f ca="1">ROUND(VLOOKUP(B289,MSG_New!$B$6:$O$96,MSG_New!G$1,FALSE),3)</f>
        <v>0.96299999999999997</v>
      </c>
    </row>
    <row r="292" spans="1:6" x14ac:dyDescent="0.25">
      <c r="C292" t="s">
        <v>78</v>
      </c>
      <c r="D292">
        <f ca="1">VLOOKUP(B289,MSG_New!$B$6:$O$96,MSG_New!H$1,FALSE)</f>
        <v>2016</v>
      </c>
    </row>
    <row r="293" spans="1:6" x14ac:dyDescent="0.25">
      <c r="C293" t="s">
        <v>66</v>
      </c>
      <c r="D293" t="s">
        <v>52</v>
      </c>
      <c r="E293">
        <f ca="1">VLOOKUP(B289,MSG_New!$B$6:$O$96,MSG_New!J$1,FALSE)</f>
        <v>50</v>
      </c>
    </row>
    <row r="294" spans="1:6" x14ac:dyDescent="0.25">
      <c r="C294" t="s">
        <v>67</v>
      </c>
      <c r="D294" t="s">
        <v>52</v>
      </c>
      <c r="E294">
        <f ca="1">VLOOKUP(B289,MSG_New!$B$6:$O$96,MSG_New!K$1,FALSE)</f>
        <v>0</v>
      </c>
    </row>
    <row r="295" spans="1:6" x14ac:dyDescent="0.25">
      <c r="C295" t="s">
        <v>68</v>
      </c>
      <c r="D295" t="s">
        <v>52</v>
      </c>
      <c r="E295">
        <f ca="1">VLOOKUP(B289,MSG_New!$B$6:$O$96,MSG_New!I$1,FALSE)</f>
        <v>0.99429999999999996</v>
      </c>
    </row>
    <row r="296" spans="1:6" x14ac:dyDescent="0.25">
      <c r="C296" t="str">
        <f ca="1">IF($F296="","","bdc")</f>
        <v/>
      </c>
      <c r="D296" t="str">
        <f ca="1">IF($F296="","","up")</f>
        <v/>
      </c>
      <c r="E296" t="str">
        <f ca="1">IF($F296="","","c")</f>
        <v/>
      </c>
      <c r="F296" t="str">
        <f ca="1">VLOOKUP(B289,MSG_New!$B$6:$O$96,MSG_New!M$1,FALSE)</f>
        <v/>
      </c>
    </row>
    <row r="297" spans="1:6" x14ac:dyDescent="0.25">
      <c r="C297" t="s">
        <v>81</v>
      </c>
      <c r="D297" t="s">
        <v>74</v>
      </c>
      <c r="E297" t="s">
        <v>52</v>
      </c>
      <c r="F297">
        <f ca="1">ROUND(VLOOKUP(B289,MSG_New!$B$6:$O$96,MSG_New!L$1,FALSE),0)</f>
        <v>650</v>
      </c>
    </row>
    <row r="298" spans="1:6" x14ac:dyDescent="0.25">
      <c r="C298" t="s">
        <v>70</v>
      </c>
      <c r="D298" t="str">
        <f ca="1">VLOOKUP(B289,MSG_New!$B$6:$O$96,MSG_New!N$1,FALSE)&amp;":tin"</f>
        <v>CNT1:tin</v>
      </c>
      <c r="E298" t="s">
        <v>52</v>
      </c>
      <c r="F298">
        <f ca="1">VLOOKUP(B289,MSG_New!$B$6:$O$96,MSG_New!O$1,FALSE)</f>
        <v>-1</v>
      </c>
    </row>
    <row r="299" spans="1:6" x14ac:dyDescent="0.25">
      <c r="B299" t="s">
        <v>71</v>
      </c>
    </row>
    <row r="300" spans="1:6" x14ac:dyDescent="0.25">
      <c r="A300" s="69">
        <f>A288+1</f>
        <v>9</v>
      </c>
      <c r="B300" t="s">
        <v>63</v>
      </c>
    </row>
    <row r="301" spans="1:6" x14ac:dyDescent="0.25">
      <c r="B301" t="str">
        <f ca="1">OFFSET(MSG_New!$B$58,A300,0)</f>
        <v>ELNUCoNBUwNIw</v>
      </c>
      <c r="C301" t="str">
        <f ca="1">VLOOKUP(B301,MSG_New!$B$6:$O$96,MSG_New!E$1,FALSE)</f>
        <v>k</v>
      </c>
    </row>
    <row r="302" spans="1:6" x14ac:dyDescent="0.25">
      <c r="C302" t="s">
        <v>64</v>
      </c>
      <c r="D302" t="str">
        <f ca="1">VLOOKUP(VLOOKUP(B301,MSG_New!$B$6:$O$96,MSG_New!C$1,FALSE),energyforms!$B$2:$E$14,4,FALSE)</f>
        <v>e-A-BUw</v>
      </c>
      <c r="E302">
        <f ca="1">VLOOKUP(B301,MSG_New!$B$6:$O$96,MSG_New!F$1,FALSE)</f>
        <v>1</v>
      </c>
    </row>
    <row r="303" spans="1:6" x14ac:dyDescent="0.25">
      <c r="C303" t="s">
        <v>65</v>
      </c>
      <c r="D303" t="str">
        <f ca="1">VLOOKUP(VLOOKUP(B301,MSG_New!$B$6:$O$96,MSG_New!D$1,FALSE),energyforms!$B$2:$E$14,4,FALSE)</f>
        <v>e-I-NIw</v>
      </c>
      <c r="E303" t="s">
        <v>52</v>
      </c>
      <c r="F303">
        <f ca="1">ROUND(VLOOKUP(B301,MSG_New!$B$6:$O$96,MSG_New!G$1,FALSE),3)</f>
        <v>0.94499999999999995</v>
      </c>
    </row>
    <row r="304" spans="1:6" x14ac:dyDescent="0.25">
      <c r="C304" t="s">
        <v>78</v>
      </c>
      <c r="D304">
        <f ca="1">VLOOKUP(B301,MSG_New!$B$6:$O$96,MSG_New!H$1,FALSE)</f>
        <v>2016</v>
      </c>
    </row>
    <row r="305" spans="1:10" x14ac:dyDescent="0.25">
      <c r="C305" t="s">
        <v>66</v>
      </c>
      <c r="D305" t="s">
        <v>52</v>
      </c>
      <c r="E305">
        <f ca="1">VLOOKUP(B301,MSG_New!$B$6:$O$96,MSG_New!J$1,FALSE)</f>
        <v>50</v>
      </c>
    </row>
    <row r="306" spans="1:10" x14ac:dyDescent="0.25">
      <c r="C306" t="s">
        <v>67</v>
      </c>
      <c r="D306" t="s">
        <v>52</v>
      </c>
      <c r="E306">
        <f ca="1">VLOOKUP(B301,MSG_New!$B$6:$O$96,MSG_New!K$1,FALSE)</f>
        <v>0</v>
      </c>
    </row>
    <row r="307" spans="1:10" x14ac:dyDescent="0.25">
      <c r="C307" t="s">
        <v>68</v>
      </c>
      <c r="D307" t="s">
        <v>52</v>
      </c>
      <c r="E307">
        <f ca="1">VLOOKUP(B301,MSG_New!$B$6:$O$96,MSG_New!I$1,FALSE)</f>
        <v>0.99139999999999995</v>
      </c>
    </row>
    <row r="308" spans="1:10" x14ac:dyDescent="0.25">
      <c r="C308" t="str">
        <f ca="1">IF($F308="","","bdc")</f>
        <v/>
      </c>
      <c r="D308" t="str">
        <f ca="1">IF($F308="","","up")</f>
        <v/>
      </c>
      <c r="E308" t="str">
        <f ca="1">IF($F308="","","c")</f>
        <v/>
      </c>
      <c r="F308" t="str">
        <f ca="1">VLOOKUP(B301,MSG_New!$B$6:$O$96,MSG_New!M$1,FALSE)</f>
        <v/>
      </c>
    </row>
    <row r="309" spans="1:10" x14ac:dyDescent="0.25">
      <c r="C309" t="s">
        <v>81</v>
      </c>
      <c r="D309" t="s">
        <v>74</v>
      </c>
      <c r="E309" t="s">
        <v>52</v>
      </c>
      <c r="F309">
        <f ca="1">ROUND(VLOOKUP(B301,MSG_New!$B$6:$O$96,MSG_New!L$1,FALSE),0)</f>
        <v>637</v>
      </c>
    </row>
    <row r="310" spans="1:10" x14ac:dyDescent="0.25">
      <c r="C310" t="s">
        <v>70</v>
      </c>
      <c r="D310" t="str">
        <f ca="1">VLOOKUP(B301,MSG_New!$B$6:$O$96,MSG_New!N$1,FALSE)&amp;":tin"</f>
        <v>CNB1:tin</v>
      </c>
      <c r="E310" t="s">
        <v>52</v>
      </c>
      <c r="F310">
        <f ca="1">VLOOKUP(B301,MSG_New!$B$6:$O$96,MSG_New!O$1,FALSE)</f>
        <v>-1</v>
      </c>
    </row>
    <row r="311" spans="1:10" x14ac:dyDescent="0.25">
      <c r="B311" t="s">
        <v>71</v>
      </c>
    </row>
    <row r="312" spans="1:10" s="73" customFormat="1" x14ac:dyDescent="0.25">
      <c r="J312" s="73" t="s">
        <v>162</v>
      </c>
    </row>
    <row r="313" spans="1:10" x14ac:dyDescent="0.25">
      <c r="A313" s="69">
        <v>1</v>
      </c>
      <c r="B313" t="s">
        <v>63</v>
      </c>
    </row>
    <row r="314" spans="1:10" x14ac:dyDescent="0.25">
      <c r="B314" t="str">
        <f ca="1">OFFSET(MSG_New!$B$71,A313,0)</f>
        <v>ELNUhubGUwMAw</v>
      </c>
      <c r="C314" t="str">
        <f ca="1">VLOOKUP(B314,MSG_New!$B$6:$O$96,MSG_New!E$1,FALSE)</f>
        <v>o</v>
      </c>
    </row>
    <row r="315" spans="1:10" x14ac:dyDescent="0.25">
      <c r="C315" t="s">
        <v>64</v>
      </c>
      <c r="D315" t="str">
        <f ca="1">VLOOKUP(VLOOKUP(B314,MSG_New!$B$6:$O$96,MSG_New!C$1,FALSE),energyforms!$B$2:$E$14,4,FALSE)</f>
        <v>e-E-GUw</v>
      </c>
      <c r="E315">
        <f ca="1">VLOOKUP(B314,MSG_New!$B$6:$O$96,MSG_New!F$1,FALSE)</f>
        <v>1</v>
      </c>
    </row>
    <row r="316" spans="1:10" x14ac:dyDescent="0.25">
      <c r="C316" t="s">
        <v>65</v>
      </c>
      <c r="D316" t="str">
        <f ca="1">VLOOKUP(VLOOKUP(B314,MSG_New!$B$6:$O$96,MSG_New!D$1,FALSE),energyforms!$B$2:$E$14,4,FALSE)</f>
        <v>e-H-MAw</v>
      </c>
      <c r="E316" t="s">
        <v>52</v>
      </c>
      <c r="F316">
        <f ca="1">ROUND(VLOOKUP(B314,MSG_New!$B$6:$O$96,MSG_New!G$1,FALSE),3)</f>
        <v>0.95899999999999996</v>
      </c>
    </row>
    <row r="317" spans="1:10" x14ac:dyDescent="0.25">
      <c r="C317" t="s">
        <v>78</v>
      </c>
      <c r="D317">
        <f ca="1">VLOOKUP(B314,MSG_New!$B$6:$O$96,MSG_New!H$1,FALSE)</f>
        <v>2016</v>
      </c>
    </row>
    <row r="318" spans="1:10" x14ac:dyDescent="0.25">
      <c r="C318" t="s">
        <v>66</v>
      </c>
      <c r="D318" t="s">
        <v>52</v>
      </c>
      <c r="E318">
        <f ca="1">VLOOKUP(B314,MSG_New!$B$6:$O$96,MSG_New!J$1,FALSE)</f>
        <v>50</v>
      </c>
    </row>
    <row r="319" spans="1:10" x14ac:dyDescent="0.25">
      <c r="C319" t="s">
        <v>67</v>
      </c>
      <c r="D319" t="s">
        <v>52</v>
      </c>
      <c r="E319">
        <f ca="1">VLOOKUP(B314,MSG_New!$B$6:$O$96,MSG_New!K$1,FALSE)</f>
        <v>366.1</v>
      </c>
    </row>
    <row r="320" spans="1:10" x14ac:dyDescent="0.25">
      <c r="C320" t="s">
        <v>68</v>
      </c>
      <c r="D320" t="s">
        <v>52</v>
      </c>
      <c r="E320">
        <f ca="1">VLOOKUP(B314,MSG_New!$B$6:$O$96,MSG_New!I$1,FALSE)</f>
        <v>0.99360000000000004</v>
      </c>
    </row>
    <row r="321" spans="1:6" x14ac:dyDescent="0.25">
      <c r="C321" t="str">
        <f ca="1">IF($F321="","","bdc")</f>
        <v/>
      </c>
      <c r="D321" t="str">
        <f ca="1">IF($F321="","","up")</f>
        <v/>
      </c>
      <c r="E321" t="str">
        <f ca="1">IF($F321="","","c")</f>
        <v/>
      </c>
      <c r="F321" t="str">
        <f ca="1">VLOOKUP(B314,MSG_New!$B$6:$O$96,MSG_New!M$1,FALSE)</f>
        <v/>
      </c>
    </row>
    <row r="322" spans="1:6" x14ac:dyDescent="0.25">
      <c r="C322" t="s">
        <v>81</v>
      </c>
      <c r="D322" t="s">
        <v>74</v>
      </c>
      <c r="E322" t="s">
        <v>52</v>
      </c>
      <c r="F322">
        <f ca="1">ROUND(VLOOKUP(B314,MSG_New!$B$6:$O$96,MSG_New!L$1,FALSE),0)</f>
        <v>321</v>
      </c>
    </row>
    <row r="323" spans="1:6" x14ac:dyDescent="0.25">
      <c r="C323" t="s">
        <v>70</v>
      </c>
      <c r="D323" t="str">
        <f ca="1">VLOOKUP(B314,MSG_New!$B$6:$O$96,MSG_New!N$1,FALSE)&amp;":tin"</f>
        <v>hGM1:tin</v>
      </c>
      <c r="E323" t="s">
        <v>52</v>
      </c>
      <c r="F323">
        <f ca="1">VLOOKUP(B314,MSG_New!$B$6:$O$96,MSG_New!O$1,FALSE)</f>
        <v>1</v>
      </c>
    </row>
    <row r="324" spans="1:6" x14ac:dyDescent="0.25">
      <c r="B324" t="s">
        <v>71</v>
      </c>
    </row>
    <row r="325" spans="1:6" x14ac:dyDescent="0.25">
      <c r="A325" s="69">
        <v>5</v>
      </c>
      <c r="B325" t="s">
        <v>63</v>
      </c>
    </row>
    <row r="326" spans="1:6" x14ac:dyDescent="0.25">
      <c r="B326" t="str">
        <f ca="1">OFFSET(MSG_New!$B$71,A325,0)</f>
        <v>ELNUhubMAwGUw</v>
      </c>
      <c r="C326" t="str">
        <f ca="1">VLOOKUP(B326,MSG_New!$B$6:$O$96,MSG_New!E$1,FALSE)</f>
        <v>p</v>
      </c>
    </row>
    <row r="327" spans="1:6" x14ac:dyDescent="0.25">
      <c r="C327" t="s">
        <v>64</v>
      </c>
      <c r="D327" t="str">
        <f ca="1">VLOOKUP(VLOOKUP(B326,MSG_New!$B$6:$O$96,MSG_New!C$1,FALSE),energyforms!$B$2:$E$14,4,FALSE)</f>
        <v>e-H-MAw</v>
      </c>
      <c r="E327">
        <f ca="1">VLOOKUP(B326,MSG_New!$B$6:$O$96,MSG_New!F$1,FALSE)</f>
        <v>1</v>
      </c>
    </row>
    <row r="328" spans="1:6" x14ac:dyDescent="0.25">
      <c r="C328" t="s">
        <v>65</v>
      </c>
      <c r="D328" t="str">
        <f ca="1">VLOOKUP(VLOOKUP(B326,MSG_New!$B$6:$O$96,MSG_New!D$1,FALSE),energyforms!$B$2:$E$14,4,FALSE)</f>
        <v>e-E-GUw</v>
      </c>
      <c r="E328" t="s">
        <v>52</v>
      </c>
      <c r="F328">
        <f ca="1">ROUND(VLOOKUP(B326,MSG_New!$B$6:$O$96,MSG_New!G$1,FALSE),3)</f>
        <v>0.95899999999999996</v>
      </c>
    </row>
    <row r="329" spans="1:6" x14ac:dyDescent="0.25">
      <c r="C329" t="s">
        <v>78</v>
      </c>
      <c r="D329">
        <f ca="1">VLOOKUP(B326,MSG_New!$B$6:$O$96,MSG_New!H$1,FALSE)</f>
        <v>2016</v>
      </c>
    </row>
    <row r="330" spans="1:6" x14ac:dyDescent="0.25">
      <c r="C330" t="s">
        <v>66</v>
      </c>
      <c r="D330" t="s">
        <v>52</v>
      </c>
      <c r="E330">
        <f ca="1">VLOOKUP(B326,MSG_New!$B$6:$O$96,MSG_New!J$1,FALSE)</f>
        <v>50</v>
      </c>
    </row>
    <row r="331" spans="1:6" x14ac:dyDescent="0.25">
      <c r="C331" t="s">
        <v>67</v>
      </c>
      <c r="D331" t="s">
        <v>52</v>
      </c>
      <c r="E331">
        <f ca="1">VLOOKUP(B326,MSG_New!$B$6:$O$96,MSG_New!K$1,FALSE)</f>
        <v>0</v>
      </c>
    </row>
    <row r="332" spans="1:6" x14ac:dyDescent="0.25">
      <c r="C332" t="s">
        <v>68</v>
      </c>
      <c r="D332" t="s">
        <v>52</v>
      </c>
      <c r="E332">
        <f ca="1">VLOOKUP(B326,MSG_New!$B$6:$O$96,MSG_New!I$1,FALSE)</f>
        <v>0.99360000000000004</v>
      </c>
    </row>
    <row r="333" spans="1:6" x14ac:dyDescent="0.25">
      <c r="C333" t="str">
        <f ca="1">IF($F333="","","bdc")</f>
        <v/>
      </c>
      <c r="D333" t="str">
        <f ca="1">IF($F333="","","up")</f>
        <v/>
      </c>
      <c r="E333" t="str">
        <f ca="1">IF($F333="","","c")</f>
        <v/>
      </c>
      <c r="F333" t="str">
        <f ca="1">VLOOKUP(B326,MSG_New!$B$6:$O$96,MSG_New!M$1,FALSE)</f>
        <v/>
      </c>
    </row>
    <row r="334" spans="1:6" x14ac:dyDescent="0.25">
      <c r="C334" t="s">
        <v>81</v>
      </c>
      <c r="D334" t="s">
        <v>74</v>
      </c>
      <c r="E334" t="s">
        <v>52</v>
      </c>
      <c r="F334">
        <f ca="1">ROUND(VLOOKUP(B326,MSG_New!$B$6:$O$96,MSG_New!L$1,FALSE),0)</f>
        <v>321</v>
      </c>
    </row>
    <row r="335" spans="1:6" x14ac:dyDescent="0.25">
      <c r="C335" t="s">
        <v>70</v>
      </c>
      <c r="D335" t="str">
        <f ca="1">VLOOKUP(B326,MSG_New!$B$6:$O$96,MSG_New!N$1,FALSE)&amp;":tin"</f>
        <v>hGM1:tin</v>
      </c>
      <c r="E335" t="s">
        <v>52</v>
      </c>
      <c r="F335">
        <f ca="1">VLOOKUP(B326,MSG_New!$B$6:$O$96,MSG_New!O$1,FALSE)</f>
        <v>-1</v>
      </c>
    </row>
    <row r="336" spans="1:6" x14ac:dyDescent="0.25">
      <c r="B336" t="s">
        <v>71</v>
      </c>
    </row>
    <row r="337" spans="1:10" s="73" customFormat="1" x14ac:dyDescent="0.25">
      <c r="J337" s="73" t="s">
        <v>164</v>
      </c>
    </row>
    <row r="338" spans="1:10" x14ac:dyDescent="0.25">
      <c r="A338" s="69">
        <v>1</v>
      </c>
      <c r="B338" t="s">
        <v>63</v>
      </c>
    </row>
    <row r="339" spans="1:10" x14ac:dyDescent="0.25">
      <c r="B339" t="str">
        <f ca="1">OFFSET(MSG_New!$B$80,A338,0)</f>
        <v>ELNUDmeNGwTBw</v>
      </c>
      <c r="C339" t="str">
        <f ca="1">VLOOKUP(B339,MSG_New!$B$6:$O$96,MSG_New!E$1,FALSE)</f>
        <v>k</v>
      </c>
    </row>
    <row r="340" spans="1:10" x14ac:dyDescent="0.25">
      <c r="C340" t="s">
        <v>64</v>
      </c>
      <c r="D340" t="str">
        <f ca="1">VLOOKUP(VLOOKUP(B339,MSG_New!$B$6:$O$96,MSG_New!C$1,FALSE),energyforms!$B$2:$E$14,4,FALSE)</f>
        <v>e-J-NGw</v>
      </c>
      <c r="E340">
        <f ca="1">VLOOKUP(B339,MSG_New!$B$6:$O$96,MSG_New!F$1,FALSE)</f>
        <v>1</v>
      </c>
    </row>
    <row r="341" spans="1:10" x14ac:dyDescent="0.25">
      <c r="C341" t="s">
        <v>65</v>
      </c>
      <c r="D341" t="str">
        <f ca="1">VLOOKUP(VLOOKUP(B339,MSG_New!$B$6:$O$96,MSG_New!D$1,FALSE),energyforms!$B$2:$E$14,4,FALSE)</f>
        <v>e-M-TBw</v>
      </c>
      <c r="E341" t="s">
        <v>52</v>
      </c>
      <c r="F341">
        <f ca="1">ROUND(VLOOKUP(B339,MSG_New!$B$6:$O$96,MSG_New!G$1,FALSE),3)</f>
        <v>0.95899999999999996</v>
      </c>
    </row>
    <row r="342" spans="1:10" x14ac:dyDescent="0.25">
      <c r="C342" t="s">
        <v>78</v>
      </c>
      <c r="D342">
        <f ca="1">VLOOKUP(B339,MSG_New!$B$6:$O$96,MSG_New!H$1,FALSE)</f>
        <v>2020</v>
      </c>
    </row>
    <row r="343" spans="1:10" x14ac:dyDescent="0.25">
      <c r="C343" t="s">
        <v>66</v>
      </c>
      <c r="D343" t="s">
        <v>52</v>
      </c>
      <c r="E343">
        <f ca="1">VLOOKUP(B339,MSG_New!$B$6:$O$96,MSG_New!J$1,FALSE)</f>
        <v>50</v>
      </c>
    </row>
    <row r="344" spans="1:10" x14ac:dyDescent="0.25">
      <c r="C344" t="s">
        <v>67</v>
      </c>
      <c r="D344" t="s">
        <v>52</v>
      </c>
      <c r="E344">
        <f ca="1">VLOOKUP(B339,MSG_New!$B$6:$O$96,MSG_New!K$1,FALSE)</f>
        <v>254.6</v>
      </c>
    </row>
    <row r="345" spans="1:10" x14ac:dyDescent="0.25">
      <c r="C345" t="s">
        <v>68</v>
      </c>
      <c r="D345" t="s">
        <v>52</v>
      </c>
      <c r="E345">
        <f ca="1">VLOOKUP(B339,MSG_New!$B$6:$O$96,MSG_New!I$1,FALSE)</f>
        <v>0.99360000000000004</v>
      </c>
    </row>
    <row r="346" spans="1:10" x14ac:dyDescent="0.25">
      <c r="C346" t="str">
        <f ca="1">IF($F346="","","bdc")</f>
        <v/>
      </c>
      <c r="D346" t="str">
        <f ca="1">IF($F346="","","up")</f>
        <v/>
      </c>
      <c r="E346" t="str">
        <f ca="1">IF($F346="","","c")</f>
        <v/>
      </c>
      <c r="F346" t="str">
        <f ca="1">VLOOKUP(B339,MSG_New!$B$6:$O$96,MSG_New!M$1,FALSE)</f>
        <v/>
      </c>
    </row>
    <row r="347" spans="1:10" x14ac:dyDescent="0.25">
      <c r="C347" t="s">
        <v>81</v>
      </c>
      <c r="D347" t="s">
        <v>74</v>
      </c>
      <c r="E347" t="s">
        <v>52</v>
      </c>
      <c r="F347">
        <f ca="1">ROUND(VLOOKUP(B339,MSG_New!$B$6:$O$96,MSG_New!L$1,FALSE),0)</f>
        <v>647</v>
      </c>
    </row>
    <row r="348" spans="1:10" x14ac:dyDescent="0.25">
      <c r="C348" t="s">
        <v>70</v>
      </c>
      <c r="D348" t="str">
        <f ca="1">VLOOKUP(B339,MSG_New!$B$6:$O$96,MSG_New!N$1,FALSE)&amp;":tin"</f>
        <v>DNT1:tin</v>
      </c>
      <c r="E348" t="s">
        <v>52</v>
      </c>
      <c r="F348">
        <f ca="1">VLOOKUP(B339,MSG_New!$B$6:$O$96,MSG_New!O$1,FALSE)</f>
        <v>1</v>
      </c>
    </row>
    <row r="349" spans="1:10" x14ac:dyDescent="0.25">
      <c r="B349" t="s">
        <v>71</v>
      </c>
    </row>
    <row r="350" spans="1:10" x14ac:dyDescent="0.25">
      <c r="A350" s="69">
        <f>A338+1</f>
        <v>2</v>
      </c>
      <c r="B350" t="s">
        <v>63</v>
      </c>
    </row>
    <row r="351" spans="1:10" x14ac:dyDescent="0.25">
      <c r="B351" t="str">
        <f ca="1">OFFSET(MSG_New!$B$80,A350,0)</f>
        <v>ELNUDMeTBwGHw</v>
      </c>
      <c r="C351" t="str">
        <f ca="1">VLOOKUP(B351,MSG_New!$B$6:$O$96,MSG_New!E$1,FALSE)</f>
        <v>l</v>
      </c>
    </row>
    <row r="352" spans="1:10" x14ac:dyDescent="0.25">
      <c r="C352" t="s">
        <v>64</v>
      </c>
      <c r="D352" t="str">
        <f ca="1">VLOOKUP(VLOOKUP(B351,MSG_New!$B$6:$O$96,MSG_New!C$1,FALSE),energyforms!$B$2:$E$14,4,FALSE)</f>
        <v>e-M-TBw</v>
      </c>
      <c r="E352">
        <f ca="1">VLOOKUP(B351,MSG_New!$B$6:$O$96,MSG_New!F$1,FALSE)</f>
        <v>1</v>
      </c>
    </row>
    <row r="353" spans="1:6" x14ac:dyDescent="0.25">
      <c r="C353" t="s">
        <v>65</v>
      </c>
      <c r="D353" t="str">
        <f ca="1">VLOOKUP(VLOOKUP(B351,MSG_New!$B$6:$O$96,MSG_New!D$1,FALSE),energyforms!$B$2:$E$14,4,FALSE)</f>
        <v>e-D-GHw</v>
      </c>
      <c r="E353" t="s">
        <v>52</v>
      </c>
      <c r="F353">
        <f ca="1">ROUND(VLOOKUP(B351,MSG_New!$B$6:$O$96,MSG_New!G$1,FALSE),3)</f>
        <v>0.97099999999999997</v>
      </c>
    </row>
    <row r="354" spans="1:6" x14ac:dyDescent="0.25">
      <c r="C354" t="s">
        <v>78</v>
      </c>
      <c r="D354">
        <f ca="1">VLOOKUP(B351,MSG_New!$B$6:$O$96,MSG_New!H$1,FALSE)</f>
        <v>2020</v>
      </c>
    </row>
    <row r="355" spans="1:6" x14ac:dyDescent="0.25">
      <c r="C355" t="s">
        <v>66</v>
      </c>
      <c r="D355" t="s">
        <v>52</v>
      </c>
      <c r="E355">
        <f ca="1">VLOOKUP(B351,MSG_New!$B$6:$O$96,MSG_New!J$1,FALSE)</f>
        <v>50</v>
      </c>
    </row>
    <row r="356" spans="1:6" x14ac:dyDescent="0.25">
      <c r="C356" t="s">
        <v>67</v>
      </c>
      <c r="D356" t="s">
        <v>52</v>
      </c>
      <c r="E356">
        <f ca="1">VLOOKUP(B351,MSG_New!$B$6:$O$96,MSG_New!K$1,FALSE)</f>
        <v>179.7</v>
      </c>
    </row>
    <row r="357" spans="1:6" x14ac:dyDescent="0.25">
      <c r="C357" t="s">
        <v>68</v>
      </c>
      <c r="D357" t="s">
        <v>52</v>
      </c>
      <c r="E357">
        <f ca="1">VLOOKUP(B351,MSG_New!$B$6:$O$96,MSG_New!I$1,FALSE)</f>
        <v>0.99539999999999995</v>
      </c>
    </row>
    <row r="358" spans="1:6" x14ac:dyDescent="0.25">
      <c r="C358" t="str">
        <f ca="1">IF($F358="","","bdc")</f>
        <v/>
      </c>
      <c r="D358" t="str">
        <f ca="1">IF($F358="","","up")</f>
        <v/>
      </c>
      <c r="E358" t="str">
        <f ca="1">IF($F358="","","c")</f>
        <v/>
      </c>
      <c r="F358" t="str">
        <f ca="1">VLOOKUP(B351,MSG_New!$B$6:$O$96,MSG_New!M$1,FALSE)</f>
        <v/>
      </c>
    </row>
    <row r="359" spans="1:6" x14ac:dyDescent="0.25">
      <c r="C359" t="s">
        <v>81</v>
      </c>
      <c r="D359" t="s">
        <v>74</v>
      </c>
      <c r="E359" t="s">
        <v>52</v>
      </c>
      <c r="F359">
        <f ca="1">ROUND(VLOOKUP(B351,MSG_New!$B$6:$O$96,MSG_New!L$1,FALSE),0)</f>
        <v>654</v>
      </c>
    </row>
    <row r="360" spans="1:6" x14ac:dyDescent="0.25">
      <c r="C360" t="s">
        <v>70</v>
      </c>
      <c r="D360" t="str">
        <f ca="1">VLOOKUP(B351,MSG_New!$B$6:$O$96,MSG_New!N$1,FALSE)&amp;":tin"</f>
        <v>DTG1:tin</v>
      </c>
      <c r="E360" t="s">
        <v>52</v>
      </c>
      <c r="F360">
        <f ca="1">VLOOKUP(B351,MSG_New!$B$6:$O$96,MSG_New!O$1,FALSE)</f>
        <v>1</v>
      </c>
    </row>
    <row r="361" spans="1:6" x14ac:dyDescent="0.25">
      <c r="B361" t="s">
        <v>71</v>
      </c>
    </row>
    <row r="362" spans="1:6" x14ac:dyDescent="0.25">
      <c r="A362" s="77">
        <v>6</v>
      </c>
      <c r="B362" t="s">
        <v>63</v>
      </c>
    </row>
    <row r="363" spans="1:6" x14ac:dyDescent="0.25">
      <c r="B363" t="str">
        <f ca="1">OFFSET(MSG_New!$B$80,A362,0)</f>
        <v>ELNUDMeTBwNGw</v>
      </c>
      <c r="C363" t="str">
        <f ca="1">VLOOKUP(B363,MSG_New!$B$6:$O$96,MSG_New!E$1,FALSE)</f>
        <v>m</v>
      </c>
    </row>
    <row r="364" spans="1:6" x14ac:dyDescent="0.25">
      <c r="C364" t="s">
        <v>64</v>
      </c>
      <c r="D364" t="str">
        <f ca="1">VLOOKUP(VLOOKUP(B363,MSG_New!$B$6:$O$96,MSG_New!C$1,FALSE),energyforms!$B$2:$E$14,4,FALSE)</f>
        <v>e-M-TBw</v>
      </c>
      <c r="E364">
        <f ca="1">VLOOKUP(B363,MSG_New!$B$6:$O$96,MSG_New!F$1,FALSE)</f>
        <v>1</v>
      </c>
    </row>
    <row r="365" spans="1:6" x14ac:dyDescent="0.25">
      <c r="C365" t="s">
        <v>65</v>
      </c>
      <c r="D365" t="str">
        <f ca="1">VLOOKUP(VLOOKUP(B363,MSG_New!$B$6:$O$96,MSG_New!D$1,FALSE),energyforms!$B$2:$E$14,4,FALSE)</f>
        <v>e-J-NGw</v>
      </c>
      <c r="E365" t="s">
        <v>52</v>
      </c>
      <c r="F365">
        <f ca="1">ROUND(VLOOKUP(B363,MSG_New!$B$6:$O$96,MSG_New!G$1,FALSE),3)</f>
        <v>0.95899999999999996</v>
      </c>
    </row>
    <row r="366" spans="1:6" x14ac:dyDescent="0.25">
      <c r="C366" t="s">
        <v>78</v>
      </c>
      <c r="D366">
        <f ca="1">VLOOKUP(B363,MSG_New!$B$6:$O$96,MSG_New!H$1,FALSE)</f>
        <v>2020</v>
      </c>
    </row>
    <row r="367" spans="1:6" x14ac:dyDescent="0.25">
      <c r="C367" t="s">
        <v>66</v>
      </c>
      <c r="D367" t="s">
        <v>52</v>
      </c>
      <c r="E367">
        <f ca="1">VLOOKUP(B363,MSG_New!$B$6:$O$96,MSG_New!J$1,FALSE)</f>
        <v>50</v>
      </c>
    </row>
    <row r="368" spans="1:6" x14ac:dyDescent="0.25">
      <c r="C368" t="s">
        <v>67</v>
      </c>
      <c r="D368" t="s">
        <v>52</v>
      </c>
      <c r="E368">
        <f ca="1">VLOOKUP(B363,MSG_New!$B$6:$O$96,MSG_New!K$1,FALSE)</f>
        <v>0</v>
      </c>
    </row>
    <row r="369" spans="1:6" x14ac:dyDescent="0.25">
      <c r="C369" t="s">
        <v>68</v>
      </c>
      <c r="D369" t="s">
        <v>52</v>
      </c>
      <c r="E369">
        <f ca="1">VLOOKUP(B363,MSG_New!$B$6:$O$96,MSG_New!I$1,FALSE)</f>
        <v>0.99360000000000004</v>
      </c>
    </row>
    <row r="370" spans="1:6" x14ac:dyDescent="0.25">
      <c r="C370" t="str">
        <f ca="1">IF($F370="","","bdc")</f>
        <v/>
      </c>
      <c r="D370" t="str">
        <f ca="1">IF($F370="","","up")</f>
        <v/>
      </c>
      <c r="E370" t="str">
        <f ca="1">IF($F370="","","c")</f>
        <v/>
      </c>
      <c r="F370" t="str">
        <f ca="1">VLOOKUP(B363,MSG_New!$B$6:$O$96,MSG_New!M$1,FALSE)</f>
        <v/>
      </c>
    </row>
    <row r="371" spans="1:6" x14ac:dyDescent="0.25">
      <c r="C371" t="s">
        <v>81</v>
      </c>
      <c r="D371" t="s">
        <v>74</v>
      </c>
      <c r="E371" t="s">
        <v>52</v>
      </c>
      <c r="F371">
        <f ca="1">ROUND(VLOOKUP(B363,MSG_New!$B$6:$O$96,MSG_New!L$1,FALSE),0)</f>
        <v>647</v>
      </c>
    </row>
    <row r="372" spans="1:6" x14ac:dyDescent="0.25">
      <c r="C372" t="s">
        <v>70</v>
      </c>
      <c r="D372" t="str">
        <f ca="1">VLOOKUP(B363,MSG_New!$B$6:$O$96,MSG_New!N$1,FALSE)&amp;":tin"</f>
        <v>DNT1:tin</v>
      </c>
      <c r="E372" t="s">
        <v>52</v>
      </c>
      <c r="F372">
        <f ca="1">VLOOKUP(B363,MSG_New!$B$6:$O$96,MSG_New!O$1,FALSE)</f>
        <v>-1</v>
      </c>
    </row>
    <row r="373" spans="1:6" x14ac:dyDescent="0.25">
      <c r="B373" t="s">
        <v>71</v>
      </c>
    </row>
    <row r="374" spans="1:6" x14ac:dyDescent="0.25">
      <c r="A374" s="69">
        <f>A362+1</f>
        <v>7</v>
      </c>
      <c r="B374" t="s">
        <v>63</v>
      </c>
    </row>
    <row r="375" spans="1:6" x14ac:dyDescent="0.25">
      <c r="B375" t="str">
        <f ca="1">OFFSET(MSG_New!$B$80,A374,0)</f>
        <v>ELNUDMeGHwTBw</v>
      </c>
      <c r="C375" t="str">
        <f ca="1">VLOOKUP(B375,MSG_New!$B$6:$O$96,MSG_New!E$1,FALSE)</f>
        <v>n</v>
      </c>
    </row>
    <row r="376" spans="1:6" x14ac:dyDescent="0.25">
      <c r="C376" t="s">
        <v>64</v>
      </c>
      <c r="D376" t="str">
        <f ca="1">VLOOKUP(VLOOKUP(B375,MSG_New!$B$6:$O$96,MSG_New!C$1,FALSE),energyforms!$B$2:$E$14,4,FALSE)</f>
        <v>e-D-GHw</v>
      </c>
      <c r="E376">
        <f ca="1">VLOOKUP(B375,MSG_New!$B$6:$O$96,MSG_New!F$1,FALSE)</f>
        <v>1</v>
      </c>
    </row>
    <row r="377" spans="1:6" x14ac:dyDescent="0.25">
      <c r="C377" t="s">
        <v>65</v>
      </c>
      <c r="D377" t="str">
        <f ca="1">VLOOKUP(VLOOKUP(B375,MSG_New!$B$6:$O$96,MSG_New!D$1,FALSE),energyforms!$B$2:$E$14,4,FALSE)</f>
        <v>e-M-TBw</v>
      </c>
      <c r="E377" t="s">
        <v>52</v>
      </c>
      <c r="F377">
        <f ca="1">ROUND(VLOOKUP(B375,MSG_New!$B$6:$O$96,MSG_New!G$1,FALSE),3)</f>
        <v>0.97099999999999997</v>
      </c>
    </row>
    <row r="378" spans="1:6" x14ac:dyDescent="0.25">
      <c r="C378" t="s">
        <v>78</v>
      </c>
      <c r="D378">
        <f ca="1">VLOOKUP(B375,MSG_New!$B$6:$O$96,MSG_New!H$1,FALSE)</f>
        <v>2020</v>
      </c>
    </row>
    <row r="379" spans="1:6" x14ac:dyDescent="0.25">
      <c r="C379" t="s">
        <v>66</v>
      </c>
      <c r="D379" t="s">
        <v>52</v>
      </c>
      <c r="E379">
        <f ca="1">VLOOKUP(B375,MSG_New!$B$6:$O$96,MSG_New!J$1,FALSE)</f>
        <v>50</v>
      </c>
    </row>
    <row r="380" spans="1:6" x14ac:dyDescent="0.25">
      <c r="C380" t="s">
        <v>67</v>
      </c>
      <c r="D380" t="s">
        <v>52</v>
      </c>
      <c r="E380">
        <f ca="1">VLOOKUP(B375,MSG_New!$B$6:$O$96,MSG_New!K$1,FALSE)</f>
        <v>0</v>
      </c>
    </row>
    <row r="381" spans="1:6" x14ac:dyDescent="0.25">
      <c r="C381" t="s">
        <v>68</v>
      </c>
      <c r="D381" t="s">
        <v>52</v>
      </c>
      <c r="E381">
        <f ca="1">VLOOKUP(B375,MSG_New!$B$6:$O$96,MSG_New!I$1,FALSE)</f>
        <v>0.99539999999999995</v>
      </c>
    </row>
    <row r="382" spans="1:6" x14ac:dyDescent="0.25">
      <c r="C382" t="str">
        <f ca="1">IF($F382="","","bdc")</f>
        <v/>
      </c>
      <c r="D382" t="str">
        <f ca="1">IF($F382="","","up")</f>
        <v/>
      </c>
      <c r="E382" t="str">
        <f ca="1">IF($F382="","","c")</f>
        <v/>
      </c>
      <c r="F382" t="str">
        <f ca="1">VLOOKUP(B375,MSG_New!$B$6:$O$96,MSG_New!M$1,FALSE)</f>
        <v/>
      </c>
    </row>
    <row r="383" spans="1:6" x14ac:dyDescent="0.25">
      <c r="C383" t="s">
        <v>81</v>
      </c>
      <c r="D383" t="s">
        <v>74</v>
      </c>
      <c r="E383" t="s">
        <v>52</v>
      </c>
      <c r="F383">
        <f ca="1">ROUND(VLOOKUP(B375,MSG_New!$B$6:$O$96,MSG_New!L$1,FALSE),0)</f>
        <v>654</v>
      </c>
    </row>
    <row r="384" spans="1:6" x14ac:dyDescent="0.25">
      <c r="C384" t="s">
        <v>70</v>
      </c>
      <c r="D384" t="str">
        <f ca="1">VLOOKUP(B375,MSG_New!$B$6:$O$96,MSG_New!N$1,FALSE)&amp;":tin"</f>
        <v>DTG1:tin</v>
      </c>
      <c r="E384" t="s">
        <v>52</v>
      </c>
      <c r="F384">
        <f ca="1">VLOOKUP(B375,MSG_New!$B$6:$O$96,MSG_New!O$1,FALSE)</f>
        <v>-1</v>
      </c>
    </row>
    <row r="385" spans="1:10" x14ac:dyDescent="0.25">
      <c r="B385" t="s">
        <v>71</v>
      </c>
    </row>
    <row r="386" spans="1:10" s="73" customFormat="1" x14ac:dyDescent="0.25">
      <c r="J386" s="73" t="s">
        <v>187</v>
      </c>
    </row>
    <row r="387" spans="1:10" x14ac:dyDescent="0.25">
      <c r="A387" s="69">
        <f>A375+1</f>
        <v>1</v>
      </c>
      <c r="B387" t="s">
        <v>63</v>
      </c>
    </row>
    <row r="388" spans="1:10" x14ac:dyDescent="0.25">
      <c r="B388" t="str">
        <f ca="1">OFFSET(MSG_New!$B$91,A387,0)</f>
        <v>ELNUOMVGMAwSEw</v>
      </c>
      <c r="C388" t="str">
        <f ca="1">VLOOKUP(B388,MSG_New!$B$6:$O$96,MSG_New!E$1,FALSE)</f>
        <v>k</v>
      </c>
    </row>
    <row r="389" spans="1:10" x14ac:dyDescent="0.25">
      <c r="C389" t="s">
        <v>64</v>
      </c>
      <c r="D389" t="str">
        <f ca="1">VLOOKUP(VLOOKUP(B388,MSG_New!$B$6:$O$96,MSG_New!C$1,FALSE),energyforms!$B$2:$E$14,4,FALSE)</f>
        <v>e-H-MAw</v>
      </c>
      <c r="E389">
        <f ca="1">VLOOKUP(B388,MSG_New!$B$6:$O$96,MSG_New!F$1,FALSE)</f>
        <v>1</v>
      </c>
    </row>
    <row r="390" spans="1:10" x14ac:dyDescent="0.25">
      <c r="C390" t="s">
        <v>65</v>
      </c>
      <c r="D390" t="str">
        <f ca="1">VLOOKUP(VLOOKUP(B388,MSG_New!$B$6:$O$96,MSG_New!D$1,FALSE),energyforms!$B$2:$E$14,4,FALSE)</f>
        <v>e-K-SEw</v>
      </c>
      <c r="E390" t="s">
        <v>52</v>
      </c>
      <c r="F390">
        <f ca="1">ROUND(VLOOKUP(B388,MSG_New!$B$6:$O$96,MSG_New!G$1,FALSE),3)</f>
        <v>0.97099999999999997</v>
      </c>
    </row>
    <row r="391" spans="1:10" x14ac:dyDescent="0.25">
      <c r="C391" t="s">
        <v>78</v>
      </c>
      <c r="D391">
        <f ca="1">VLOOKUP(B388,MSG_New!$B$6:$O$96,MSG_New!H$1,FALSE)</f>
        <v>2020</v>
      </c>
    </row>
    <row r="392" spans="1:10" x14ac:dyDescent="0.25">
      <c r="C392" t="s">
        <v>66</v>
      </c>
      <c r="D392" t="s">
        <v>52</v>
      </c>
      <c r="E392">
        <f ca="1">VLOOKUP(B388,MSG_New!$B$6:$O$96,MSG_New!J$1,FALSE)</f>
        <v>50</v>
      </c>
    </row>
    <row r="393" spans="1:10" x14ac:dyDescent="0.25">
      <c r="C393" t="s">
        <v>67</v>
      </c>
      <c r="D393" t="s">
        <v>52</v>
      </c>
      <c r="E393">
        <f ca="1">VLOOKUP(B388,MSG_New!$B$6:$O$96,MSG_New!K$1,FALSE)</f>
        <v>299.7</v>
      </c>
    </row>
    <row r="394" spans="1:10" x14ac:dyDescent="0.25">
      <c r="C394" t="s">
        <v>68</v>
      </c>
      <c r="D394" t="s">
        <v>52</v>
      </c>
      <c r="E394">
        <f ca="1">VLOOKUP(B388,MSG_New!$B$6:$O$96,MSG_New!I$1,FALSE)</f>
        <v>0.99539999999999995</v>
      </c>
    </row>
    <row r="395" spans="1:10" x14ac:dyDescent="0.25">
      <c r="C395" t="str">
        <f ca="1">IF($F395="","","bdc")</f>
        <v/>
      </c>
      <c r="D395" t="str">
        <f ca="1">IF($F395="","","up")</f>
        <v/>
      </c>
      <c r="E395" t="str">
        <f ca="1">IF($F395="","","c")</f>
        <v/>
      </c>
      <c r="F395" t="str">
        <f ca="1">VLOOKUP(B388,MSG_New!$B$6:$O$96,MSG_New!M$1,FALSE)</f>
        <v/>
      </c>
    </row>
    <row r="396" spans="1:10" x14ac:dyDescent="0.25">
      <c r="C396" t="s">
        <v>81</v>
      </c>
      <c r="D396" t="s">
        <v>74</v>
      </c>
      <c r="E396" t="s">
        <v>52</v>
      </c>
      <c r="F396">
        <f ca="1">ROUND(VLOOKUP(B388,MSG_New!$B$6:$O$96,MSG_New!L$1,FALSE),0)</f>
        <v>329</v>
      </c>
    </row>
    <row r="397" spans="1:10" x14ac:dyDescent="0.25">
      <c r="C397" t="s">
        <v>70</v>
      </c>
      <c r="D397" t="str">
        <f ca="1">VLOOKUP(B388,MSG_New!$B$6:$O$96,MSG_New!N$1,FALSE)&amp;":tin"</f>
        <v>OMS1:tin</v>
      </c>
      <c r="E397" t="s">
        <v>52</v>
      </c>
      <c r="F397">
        <f ca="1">VLOOKUP(B388,MSG_New!$B$6:$O$96,MSG_New!O$1,FALSE)</f>
        <v>1</v>
      </c>
    </row>
    <row r="398" spans="1:10" x14ac:dyDescent="0.25">
      <c r="B398" t="s">
        <v>71</v>
      </c>
    </row>
    <row r="399" spans="1:10" x14ac:dyDescent="0.25">
      <c r="A399" s="77">
        <v>6</v>
      </c>
      <c r="B399" t="s">
        <v>63</v>
      </c>
    </row>
    <row r="400" spans="1:10" x14ac:dyDescent="0.25">
      <c r="B400" t="str">
        <f ca="1">OFFSET(MSG_New!$B$91,A399,0)</f>
        <v>ELNUOMVSSEwMAw</v>
      </c>
      <c r="C400" t="str">
        <f ca="1">VLOOKUP(B400,MSG_New!$B$6:$O$106,MSG_New!E$1,FALSE)</f>
        <v>l</v>
      </c>
    </row>
    <row r="401" spans="1:10" x14ac:dyDescent="0.25">
      <c r="C401" t="s">
        <v>64</v>
      </c>
      <c r="D401" t="str">
        <f ca="1">VLOOKUP(VLOOKUP(B400,MSG_New!$B$6:$O$106,MSG_New!C$1,FALSE),energyforms!$B$2:$E$14,4,FALSE)</f>
        <v>e-K-SEw</v>
      </c>
      <c r="E401">
        <f ca="1">VLOOKUP(B400,MSG_New!$B$6:$O$106,MSG_New!F$1,FALSE)</f>
        <v>1</v>
      </c>
    </row>
    <row r="402" spans="1:10" x14ac:dyDescent="0.25">
      <c r="C402" t="s">
        <v>65</v>
      </c>
      <c r="D402" t="str">
        <f ca="1">VLOOKUP(VLOOKUP(B400,MSG_New!$B$6:$O$106,MSG_New!D$1,FALSE),energyforms!$B$2:$E$14,4,FALSE)</f>
        <v>e-H-MAw</v>
      </c>
      <c r="E402" t="s">
        <v>52</v>
      </c>
      <c r="F402">
        <f ca="1">ROUND(VLOOKUP(B400,MSG_New!$B$6:$O$106,MSG_New!G$1,FALSE),3)</f>
        <v>0.97099999999999997</v>
      </c>
    </row>
    <row r="403" spans="1:10" x14ac:dyDescent="0.25">
      <c r="C403" t="s">
        <v>78</v>
      </c>
      <c r="D403">
        <f ca="1">VLOOKUP(B400,MSG_New!$B$6:$O$106,MSG_New!H$1,FALSE)</f>
        <v>2020</v>
      </c>
    </row>
    <row r="404" spans="1:10" x14ac:dyDescent="0.25">
      <c r="C404" t="s">
        <v>66</v>
      </c>
      <c r="D404" t="s">
        <v>52</v>
      </c>
      <c r="E404">
        <f ca="1">VLOOKUP(B400,MSG_New!$B$6:$O$106,MSG_New!J$1,FALSE)</f>
        <v>50</v>
      </c>
    </row>
    <row r="405" spans="1:10" x14ac:dyDescent="0.25">
      <c r="C405" t="s">
        <v>67</v>
      </c>
      <c r="D405" t="s">
        <v>52</v>
      </c>
      <c r="E405">
        <f ca="1">VLOOKUP(B400,MSG_New!$B$6:$O$106,MSG_New!K$1,FALSE)</f>
        <v>0</v>
      </c>
    </row>
    <row r="406" spans="1:10" x14ac:dyDescent="0.25">
      <c r="C406" t="s">
        <v>68</v>
      </c>
      <c r="D406" t="s">
        <v>52</v>
      </c>
      <c r="E406">
        <f ca="1">VLOOKUP(B400,MSG_New!$B$6:$O$106,MSG_New!I$1,FALSE)</f>
        <v>0.99539999999999995</v>
      </c>
    </row>
    <row r="407" spans="1:10" x14ac:dyDescent="0.25">
      <c r="C407" t="str">
        <f ca="1">IF($F407="","","bdc")</f>
        <v/>
      </c>
      <c r="D407" t="str">
        <f ca="1">IF($F407="","","up")</f>
        <v/>
      </c>
      <c r="E407" t="str">
        <f ca="1">IF($F407="","","c")</f>
        <v/>
      </c>
      <c r="F407" t="str">
        <f ca="1">VLOOKUP(B400,MSG_New!$B$6:$O$106,MSG_New!M$1,FALSE)</f>
        <v/>
      </c>
    </row>
    <row r="408" spans="1:10" x14ac:dyDescent="0.25">
      <c r="C408" t="s">
        <v>81</v>
      </c>
      <c r="D408" t="s">
        <v>74</v>
      </c>
      <c r="E408" t="s">
        <v>52</v>
      </c>
      <c r="F408">
        <f ca="1">ROUND(VLOOKUP(B400,MSG_New!$B$6:$O$106,MSG_New!L$1,FALSE),0)</f>
        <v>329</v>
      </c>
    </row>
    <row r="409" spans="1:10" x14ac:dyDescent="0.25">
      <c r="C409" t="s">
        <v>70</v>
      </c>
      <c r="D409" t="str">
        <f ca="1">VLOOKUP(B400,MSG_New!$B$6:$O$106,MSG_New!N$1,FALSE)&amp;":tin"</f>
        <v>OMS1:tin</v>
      </c>
      <c r="E409" t="s">
        <v>52</v>
      </c>
      <c r="F409">
        <f ca="1">VLOOKUP(B400,MSG_New!$B$6:$O$106,MSG_New!O$1,FALSE)</f>
        <v>-1</v>
      </c>
    </row>
    <row r="410" spans="1:10" x14ac:dyDescent="0.25">
      <c r="B410" t="s">
        <v>71</v>
      </c>
    </row>
    <row r="411" spans="1:10" s="73" customFormat="1" x14ac:dyDescent="0.25">
      <c r="J411" s="73" t="str">
        <f>MSG_New!B101</f>
        <v>Liberia Cote d'Ivoire</v>
      </c>
    </row>
    <row r="412" spans="1:10" x14ac:dyDescent="0.25">
      <c r="A412" s="69">
        <v>12</v>
      </c>
      <c r="B412" t="s">
        <v>63</v>
      </c>
    </row>
    <row r="413" spans="1:10" x14ac:dyDescent="0.25">
      <c r="B413" t="str">
        <f ca="1">OFFSET(MSG_New!$B$91,A412,0)</f>
        <v>ELNULICILIwCIw</v>
      </c>
      <c r="C413" t="str">
        <f ca="1">VLOOKUP(B413,MSG_New!$B$6:$O$140,MSG_New!E$1,FALSE)</f>
        <v>m</v>
      </c>
    </row>
    <row r="414" spans="1:10" x14ac:dyDescent="0.25">
      <c r="C414" t="s">
        <v>64</v>
      </c>
      <c r="D414" t="str">
        <f ca="1">VLOOKUP(VLOOKUP(B413,MSG_New!$B$6:$O$140,MSG_New!C$1,FALSE),energyforms!$B$2:$E$14,4,FALSE)</f>
        <v>e-G-LIw</v>
      </c>
      <c r="E414">
        <f ca="1">VLOOKUP(B413,MSG_New!$B$6:$O$140,MSG_New!F$1,FALSE)</f>
        <v>1</v>
      </c>
    </row>
    <row r="415" spans="1:10" x14ac:dyDescent="0.25">
      <c r="C415" t="s">
        <v>65</v>
      </c>
      <c r="D415" t="str">
        <f ca="1">VLOOKUP(VLOOKUP(B413,MSG_New!$B$6:$O$140,MSG_New!D$1,FALSE),energyforms!$B$2:$E$14,4,FALSE)</f>
        <v>e-B-CIw</v>
      </c>
      <c r="E415" t="s">
        <v>52</v>
      </c>
      <c r="F415">
        <f ca="1">ROUND(VLOOKUP(B413,MSG_New!$B$6:$O$140,MSG_New!G$1,FALSE),3)</f>
        <v>0.97099999999999997</v>
      </c>
    </row>
    <row r="416" spans="1:10" x14ac:dyDescent="0.25">
      <c r="C416" t="s">
        <v>78</v>
      </c>
      <c r="D416">
        <f ca="1">VLOOKUP(B413,MSG_New!$B$6:$O$140,MSG_New!H$1,FALSE)</f>
        <v>2020</v>
      </c>
    </row>
    <row r="417" spans="1:6" x14ac:dyDescent="0.25">
      <c r="C417" t="s">
        <v>66</v>
      </c>
      <c r="D417" t="s">
        <v>52</v>
      </c>
      <c r="E417">
        <f ca="1">VLOOKUP(B413,MSG_New!$B$6:$O$140,MSG_New!J$1,FALSE)</f>
        <v>50</v>
      </c>
    </row>
    <row r="418" spans="1:6" x14ac:dyDescent="0.25">
      <c r="C418" t="s">
        <v>67</v>
      </c>
      <c r="D418" t="s">
        <v>52</v>
      </c>
      <c r="E418">
        <f ca="1">VLOOKUP(B413,MSG_New!$B$6:$O$140,MSG_New!K$1,FALSE)</f>
        <v>299.7</v>
      </c>
    </row>
    <row r="419" spans="1:6" x14ac:dyDescent="0.25">
      <c r="C419" t="s">
        <v>68</v>
      </c>
      <c r="D419" t="s">
        <v>52</v>
      </c>
      <c r="E419">
        <f ca="1">VLOOKUP(B413,MSG_New!$B$6:$O$140,MSG_New!I$1,FALSE)</f>
        <v>0.99539999999999995</v>
      </c>
    </row>
    <row r="420" spans="1:6" x14ac:dyDescent="0.25">
      <c r="C420" t="str">
        <f ca="1">IF($F420="","","bdc")</f>
        <v/>
      </c>
      <c r="D420" t="str">
        <f ca="1">IF($F420="","","up")</f>
        <v/>
      </c>
      <c r="E420" t="str">
        <f ca="1">IF($F420="","","c")</f>
        <v/>
      </c>
      <c r="F420" t="str">
        <f ca="1">VLOOKUP(B413,MSG_New!$B$6:$O$140,MSG_New!M$1,FALSE)</f>
        <v/>
      </c>
    </row>
    <row r="421" spans="1:6" x14ac:dyDescent="0.25">
      <c r="C421" t="s">
        <v>81</v>
      </c>
      <c r="D421" t="s">
        <v>74</v>
      </c>
      <c r="E421" t="s">
        <v>52</v>
      </c>
      <c r="F421">
        <f ca="1">ROUND(VLOOKUP(B413,MSG_New!$B$6:$O$140,MSG_New!L$1,FALSE),0)</f>
        <v>329</v>
      </c>
    </row>
    <row r="422" spans="1:6" x14ac:dyDescent="0.25">
      <c r="C422" t="s">
        <v>70</v>
      </c>
      <c r="D422" t="str">
        <f ca="1">VLOOKUP(B413,MSG_New!$B$6:$O$140,MSG_New!N$1,FALSE)&amp;":tin"</f>
        <v>LLC1:tin</v>
      </c>
      <c r="E422" t="s">
        <v>52</v>
      </c>
      <c r="F422">
        <f ca="1">VLOOKUP(B413,MSG_New!$B$6:$O$140,MSG_New!O$1,FALSE)</f>
        <v>1</v>
      </c>
    </row>
    <row r="423" spans="1:6" x14ac:dyDescent="0.25">
      <c r="B423" t="s">
        <v>71</v>
      </c>
    </row>
    <row r="424" spans="1:6" x14ac:dyDescent="0.25">
      <c r="A424" s="77">
        <v>17</v>
      </c>
      <c r="B424" t="s">
        <v>63</v>
      </c>
    </row>
    <row r="425" spans="1:6" x14ac:dyDescent="0.25">
      <c r="B425" t="str">
        <f ca="1">OFFSET(MSG_New!$B$91,A424,0)</f>
        <v>ELNULICICIwLIw</v>
      </c>
      <c r="C425" t="str">
        <f ca="1">VLOOKUP(B425,MSG_New!$B$6:$O$140,MSG_New!E$1,FALSE)</f>
        <v>n</v>
      </c>
    </row>
    <row r="426" spans="1:6" x14ac:dyDescent="0.25">
      <c r="C426" t="s">
        <v>64</v>
      </c>
      <c r="D426" t="str">
        <f ca="1">VLOOKUP(VLOOKUP(B425,MSG_New!$B$6:$O$140,MSG_New!C$1,FALSE),energyforms!$B$2:$E$14,4,FALSE)</f>
        <v>e-B-CIw</v>
      </c>
      <c r="E426">
        <f ca="1">VLOOKUP(B425,MSG_New!$B$6:$O$140,MSG_New!F$1,FALSE)</f>
        <v>1</v>
      </c>
    </row>
    <row r="427" spans="1:6" x14ac:dyDescent="0.25">
      <c r="C427" t="s">
        <v>65</v>
      </c>
      <c r="D427" t="str">
        <f ca="1">VLOOKUP(VLOOKUP(B425,MSG_New!$B$6:$O$140,MSG_New!D$1,FALSE),energyforms!$B$2:$E$14,4,FALSE)</f>
        <v>e-G-LIw</v>
      </c>
      <c r="E427" t="s">
        <v>52</v>
      </c>
      <c r="F427">
        <f ca="1">ROUND(VLOOKUP(B425,MSG_New!$B$6:$O$140,MSG_New!G$1,FALSE),3)</f>
        <v>0.97099999999999997</v>
      </c>
    </row>
    <row r="428" spans="1:6" x14ac:dyDescent="0.25">
      <c r="C428" t="s">
        <v>78</v>
      </c>
      <c r="D428">
        <f ca="1">VLOOKUP(B425,MSG_New!$B$6:$O$140,MSG_New!H$1,FALSE)</f>
        <v>2020</v>
      </c>
    </row>
    <row r="429" spans="1:6" x14ac:dyDescent="0.25">
      <c r="C429" t="s">
        <v>66</v>
      </c>
      <c r="D429" t="s">
        <v>52</v>
      </c>
      <c r="E429">
        <f ca="1">VLOOKUP(B425,MSG_New!$B$6:$O$140,MSG_New!J$1,FALSE)</f>
        <v>50</v>
      </c>
    </row>
    <row r="430" spans="1:6" x14ac:dyDescent="0.25">
      <c r="C430" t="s">
        <v>67</v>
      </c>
      <c r="D430" t="s">
        <v>52</v>
      </c>
      <c r="E430">
        <f ca="1">VLOOKUP(B425,MSG_New!$B$6:$O$140,MSG_New!K$1,FALSE)</f>
        <v>0</v>
      </c>
    </row>
    <row r="431" spans="1:6" x14ac:dyDescent="0.25">
      <c r="C431" t="s">
        <v>68</v>
      </c>
      <c r="D431" t="s">
        <v>52</v>
      </c>
      <c r="E431">
        <f ca="1">VLOOKUP(B425,MSG_New!$B$6:$O$140,MSG_New!I$1,FALSE)</f>
        <v>0.99539999999999995</v>
      </c>
    </row>
    <row r="432" spans="1:6" x14ac:dyDescent="0.25">
      <c r="C432" t="str">
        <f ca="1">IF($F432="","","bdc")</f>
        <v/>
      </c>
      <c r="D432" t="str">
        <f ca="1">IF($F432="","","up")</f>
        <v/>
      </c>
      <c r="E432" t="str">
        <f ca="1">IF($F432="","","c")</f>
        <v/>
      </c>
      <c r="F432" t="str">
        <f ca="1">VLOOKUP(B425,MSG_New!$B$6:$O$140,MSG_New!M$1,FALSE)</f>
        <v/>
      </c>
    </row>
    <row r="433" spans="1:10" x14ac:dyDescent="0.25">
      <c r="C433" t="s">
        <v>81</v>
      </c>
      <c r="D433" t="s">
        <v>74</v>
      </c>
      <c r="E433" t="s">
        <v>52</v>
      </c>
      <c r="F433">
        <f ca="1">ROUND(VLOOKUP(B425,MSG_New!$B$6:$O$140,MSG_New!L$1,FALSE),0)</f>
        <v>329</v>
      </c>
    </row>
    <row r="434" spans="1:10" x14ac:dyDescent="0.25">
      <c r="C434" t="s">
        <v>70</v>
      </c>
      <c r="D434" t="str">
        <f ca="1">VLOOKUP(B425,MSG_New!$B$6:$O$140,MSG_New!N$1,FALSE)&amp;":tin"</f>
        <v>LLC1:tin</v>
      </c>
      <c r="E434" t="s">
        <v>52</v>
      </c>
      <c r="F434">
        <f ca="1">VLOOKUP(B425,MSG_New!$B$6:$O$140,MSG_New!O$1,FALSE)</f>
        <v>-1</v>
      </c>
    </row>
    <row r="435" spans="1:10" x14ac:dyDescent="0.25">
      <c r="B435" t="s">
        <v>71</v>
      </c>
    </row>
    <row r="436" spans="1:10" s="73" customFormat="1" x14ac:dyDescent="0.25">
      <c r="J436" s="73" t="str">
        <f>MSG_New!B112</f>
        <v>Nigeria Benin Reinforcement</v>
      </c>
    </row>
    <row r="437" spans="1:10" x14ac:dyDescent="0.25">
      <c r="A437" s="69">
        <f>A424+6</f>
        <v>23</v>
      </c>
      <c r="B437" t="s">
        <v>63</v>
      </c>
    </row>
    <row r="438" spans="1:10" x14ac:dyDescent="0.25">
      <c r="B438" t="str">
        <f ca="1">OFFSET(MSG_New!$B$91,A437,0)</f>
        <v>ELNUNGTBNGwTBw</v>
      </c>
      <c r="C438" t="str">
        <f ca="1">VLOOKUP(B438,MSG_New!$B$6:$O$140,MSG_New!E$1,FALSE)</f>
        <v>m</v>
      </c>
    </row>
    <row r="439" spans="1:10" x14ac:dyDescent="0.25">
      <c r="C439" t="s">
        <v>64</v>
      </c>
      <c r="D439" t="str">
        <f ca="1">VLOOKUP(VLOOKUP(B438,MSG_New!$B$6:$O$140,MSG_New!C$1,FALSE),energyforms!$B$2:$E$14,4,FALSE)</f>
        <v>e-J-NGw</v>
      </c>
      <c r="E439">
        <f ca="1">VLOOKUP(B438,MSG_New!$B$6:$O$140,MSG_New!F$1,FALSE)</f>
        <v>1</v>
      </c>
    </row>
    <row r="440" spans="1:10" x14ac:dyDescent="0.25">
      <c r="C440" t="s">
        <v>65</v>
      </c>
      <c r="D440" t="str">
        <f ca="1">VLOOKUP(VLOOKUP(B438,MSG_New!$B$6:$O$140,MSG_New!D$1,FALSE),energyforms!$B$2:$E$14,4,FALSE)</f>
        <v>e-M-TBw</v>
      </c>
      <c r="E440" t="s">
        <v>52</v>
      </c>
      <c r="F440">
        <f ca="1">ROUND(VLOOKUP(B438,MSG_New!$B$6:$O$140,MSG_New!G$1,FALSE),3)</f>
        <v>0.97099999999999997</v>
      </c>
    </row>
    <row r="441" spans="1:10" x14ac:dyDescent="0.25">
      <c r="C441" t="s">
        <v>78</v>
      </c>
      <c r="D441">
        <f ca="1">VLOOKUP(B438,MSG_New!$B$6:$O$140,MSG_New!H$1,FALSE)</f>
        <v>2016</v>
      </c>
    </row>
    <row r="442" spans="1:10" x14ac:dyDescent="0.25">
      <c r="C442" t="s">
        <v>66</v>
      </c>
      <c r="D442" t="s">
        <v>52</v>
      </c>
      <c r="E442">
        <f ca="1">VLOOKUP(B438,MSG_New!$B$6:$O$140,MSG_New!J$1,FALSE)</f>
        <v>50</v>
      </c>
    </row>
    <row r="443" spans="1:10" x14ac:dyDescent="0.25">
      <c r="C443" t="s">
        <v>67</v>
      </c>
      <c r="D443" t="s">
        <v>52</v>
      </c>
      <c r="E443">
        <f ca="1">VLOOKUP(B438,MSG_New!$B$6:$O$140,MSG_New!K$1,FALSE)</f>
        <v>299.7</v>
      </c>
    </row>
    <row r="444" spans="1:10" x14ac:dyDescent="0.25">
      <c r="C444" t="s">
        <v>68</v>
      </c>
      <c r="D444" t="s">
        <v>52</v>
      </c>
      <c r="E444">
        <f ca="1">VLOOKUP(B438,MSG_New!$B$6:$O$140,MSG_New!I$1,FALSE)</f>
        <v>0.99539999999999995</v>
      </c>
    </row>
    <row r="445" spans="1:10" x14ac:dyDescent="0.25">
      <c r="C445" t="str">
        <f ca="1">IF($F445="","","bdc")</f>
        <v/>
      </c>
      <c r="D445" t="str">
        <f ca="1">IF($F445="","","up")</f>
        <v/>
      </c>
      <c r="E445" t="str">
        <f ca="1">IF($F445="","","c")</f>
        <v/>
      </c>
      <c r="F445" t="str">
        <f ca="1">VLOOKUP(B438,MSG_New!$B$6:$O$140,MSG_New!M$1,FALSE)</f>
        <v/>
      </c>
    </row>
    <row r="446" spans="1:10" x14ac:dyDescent="0.25">
      <c r="C446" t="s">
        <v>81</v>
      </c>
      <c r="D446" t="s">
        <v>74</v>
      </c>
      <c r="E446" t="s">
        <v>52</v>
      </c>
      <c r="F446">
        <f ca="1">ROUND(VLOOKUP(B438,MSG_New!$B$6:$O$140,MSG_New!L$1,FALSE),0)</f>
        <v>329</v>
      </c>
    </row>
    <row r="447" spans="1:10" x14ac:dyDescent="0.25">
      <c r="C447" t="s">
        <v>70</v>
      </c>
      <c r="D447" t="str">
        <f ca="1">VLOOKUP(B438,MSG_New!$B$6:$O$140,MSG_New!N$1,FALSE)&amp;":tin"</f>
        <v>NNT1:tin</v>
      </c>
      <c r="E447" t="s">
        <v>52</v>
      </c>
      <c r="F447">
        <f ca="1">VLOOKUP(B438,MSG_New!$B$6:$O$140,MSG_New!O$1,FALSE)</f>
        <v>1</v>
      </c>
    </row>
    <row r="448" spans="1:10" x14ac:dyDescent="0.25">
      <c r="B448" t="s">
        <v>71</v>
      </c>
    </row>
    <row r="449" spans="1:6" x14ac:dyDescent="0.25">
      <c r="A449" s="77">
        <f>A437+5</f>
        <v>28</v>
      </c>
      <c r="B449" t="s">
        <v>63</v>
      </c>
    </row>
    <row r="450" spans="1:6" x14ac:dyDescent="0.25">
      <c r="B450" t="str">
        <f ca="1">OFFSET(MSG_New!$B$91,A449,0)</f>
        <v>ELNUNGTBTBwNGw</v>
      </c>
      <c r="C450" t="str">
        <f ca="1">VLOOKUP(B450,MSG_New!$B$6:$O$140,MSG_New!E$1,FALSE)</f>
        <v>n</v>
      </c>
    </row>
    <row r="451" spans="1:6" x14ac:dyDescent="0.25">
      <c r="C451" t="s">
        <v>64</v>
      </c>
      <c r="D451" t="str">
        <f ca="1">VLOOKUP(VLOOKUP(B450,MSG_New!$B$6:$O$140,MSG_New!C$1,FALSE),energyforms!$B$2:$E$14,4,FALSE)</f>
        <v>e-M-TBw</v>
      </c>
      <c r="E451">
        <f ca="1">VLOOKUP(B450,MSG_New!$B$6:$O$140,MSG_New!F$1,FALSE)</f>
        <v>1</v>
      </c>
    </row>
    <row r="452" spans="1:6" x14ac:dyDescent="0.25">
      <c r="C452" t="s">
        <v>65</v>
      </c>
      <c r="D452" t="str">
        <f ca="1">VLOOKUP(VLOOKUP(B450,MSG_New!$B$6:$O$140,MSG_New!D$1,FALSE),energyforms!$B$2:$E$14,4,FALSE)</f>
        <v>e-J-NGw</v>
      </c>
      <c r="E452" t="s">
        <v>52</v>
      </c>
      <c r="F452">
        <f ca="1">ROUND(VLOOKUP(B450,MSG_New!$B$6:$O$140,MSG_New!G$1,FALSE),3)</f>
        <v>0.97099999999999997</v>
      </c>
    </row>
    <row r="453" spans="1:6" x14ac:dyDescent="0.25">
      <c r="C453" t="s">
        <v>78</v>
      </c>
      <c r="D453">
        <f ca="1">VLOOKUP(B450,MSG_New!$B$6:$O$140,MSG_New!H$1,FALSE)</f>
        <v>2016</v>
      </c>
    </row>
    <row r="454" spans="1:6" x14ac:dyDescent="0.25">
      <c r="C454" t="s">
        <v>66</v>
      </c>
      <c r="D454" t="s">
        <v>52</v>
      </c>
      <c r="E454">
        <f ca="1">VLOOKUP(B450,MSG_New!$B$6:$O$140,MSG_New!J$1,FALSE)</f>
        <v>50</v>
      </c>
    </row>
    <row r="455" spans="1:6" x14ac:dyDescent="0.25">
      <c r="C455" t="s">
        <v>67</v>
      </c>
      <c r="D455" t="s">
        <v>52</v>
      </c>
      <c r="E455">
        <f ca="1">VLOOKUP(B450,MSG_New!$B$6:$O$140,MSG_New!K$1,FALSE)</f>
        <v>0</v>
      </c>
    </row>
    <row r="456" spans="1:6" x14ac:dyDescent="0.25">
      <c r="C456" t="s">
        <v>68</v>
      </c>
      <c r="D456" t="s">
        <v>52</v>
      </c>
      <c r="E456">
        <f ca="1">VLOOKUP(B450,MSG_New!$B$6:$O$140,MSG_New!I$1,FALSE)</f>
        <v>0.99539999999999995</v>
      </c>
    </row>
    <row r="457" spans="1:6" x14ac:dyDescent="0.25">
      <c r="C457" t="str">
        <f ca="1">IF($F457="","","bdc")</f>
        <v/>
      </c>
      <c r="D457" t="str">
        <f ca="1">IF($F457="","","up")</f>
        <v/>
      </c>
      <c r="E457" t="str">
        <f ca="1">IF($F457="","","c")</f>
        <v/>
      </c>
      <c r="F457" t="str">
        <f ca="1">VLOOKUP(B450,MSG_New!$B$6:$O$140,MSG_New!M$1,FALSE)</f>
        <v/>
      </c>
    </row>
    <row r="458" spans="1:6" x14ac:dyDescent="0.25">
      <c r="C458" t="s">
        <v>81</v>
      </c>
      <c r="D458" t="s">
        <v>74</v>
      </c>
      <c r="E458" t="s">
        <v>52</v>
      </c>
      <c r="F458">
        <f ca="1">ROUND(VLOOKUP(B450,MSG_New!$B$6:$O$140,MSG_New!L$1,FALSE),0)</f>
        <v>329</v>
      </c>
    </row>
    <row r="459" spans="1:6" x14ac:dyDescent="0.25">
      <c r="C459" t="s">
        <v>70</v>
      </c>
      <c r="D459" t="str">
        <f ca="1">VLOOKUP(B450,MSG_New!$B$6:$O$140,MSG_New!N$1,FALSE)&amp;":tin"</f>
        <v>NNT1:tin</v>
      </c>
      <c r="E459" t="s">
        <v>52</v>
      </c>
      <c r="F459">
        <f ca="1">VLOOKUP(B450,MSG_New!$B$6:$O$140,MSG_New!O$1,FALSE)</f>
        <v>-1</v>
      </c>
    </row>
    <row r="460" spans="1:6" x14ac:dyDescent="0.25">
      <c r="B460" t="s">
        <v>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73"/>
  <sheetViews>
    <sheetView workbookViewId="0"/>
  </sheetViews>
  <sheetFormatPr defaultRowHeight="15" x14ac:dyDescent="0.25"/>
  <sheetData>
    <row r="1" spans="1:1" s="73" customFormat="1" x14ac:dyDescent="0.25"/>
    <row r="2" spans="1:1" x14ac:dyDescent="0.25">
      <c r="A2" t="str">
        <f>adb_new!B2</f>
        <v>*</v>
      </c>
    </row>
    <row r="3" spans="1:1" x14ac:dyDescent="0.25">
      <c r="A3" t="str">
        <f ca="1">adb_new!B3&amp;" "&amp;adb_new!C3</f>
        <v>ELNCDorGHwTBw i</v>
      </c>
    </row>
    <row r="4" spans="1:1" x14ac:dyDescent="0.25">
      <c r="A4" t="str">
        <f ca="1">adb_new!B4&amp;" "&amp;adb_new!C4&amp;" "&amp;adb_new!D4&amp;" "&amp;adb_new!E4</f>
        <v xml:space="preserve"> minp e-D-GHw 1</v>
      </c>
    </row>
    <row r="5" spans="1:1" x14ac:dyDescent="0.25">
      <c r="A5" t="str">
        <f ca="1">adb_new!B5&amp;" "&amp;adb_new!C5&amp;" "&amp;adb_new!D5&amp;" "&amp;adb_new!E5&amp;" "&amp;adb_new!F5</f>
        <v xml:space="preserve"> moutp e-M-TBw c 0.975</v>
      </c>
    </row>
    <row r="6" spans="1:1" x14ac:dyDescent="0.25">
      <c r="A6" t="str">
        <f ca="1">adb_new!B6&amp;" "&amp;adb_new!C6&amp;" "&amp;adb_new!D6&amp;" "&amp;adb_new!E6&amp;" "&amp;adb_new!F6</f>
        <v xml:space="preserve"> pll c 50 </v>
      </c>
    </row>
    <row r="7" spans="1:1" x14ac:dyDescent="0.25">
      <c r="A7" t="str">
        <f ca="1">adb_new!B7&amp;" "&amp;adb_new!C7&amp;" "&amp;adb_new!D7&amp;" "&amp;adb_new!E7&amp;" "&amp;adb_new!F7</f>
        <v xml:space="preserve"> inv c 137.4 </v>
      </c>
    </row>
    <row r="8" spans="1:1" x14ac:dyDescent="0.25">
      <c r="A8" t="str">
        <f ca="1">adb_new!B8&amp;" "&amp;adb_new!C8&amp;" "&amp;adb_new!D8&amp;" "&amp;adb_new!E8&amp;" "&amp;adb_new!F8</f>
        <v xml:space="preserve"> optm c 0.9956 </v>
      </c>
    </row>
    <row r="9" spans="1:1" x14ac:dyDescent="0.25">
      <c r="A9" t="str">
        <f ca="1">adb_new!B9&amp;" "&amp;adb_new!C9&amp;" "&amp;adb_new!D9&amp;" "&amp;adb_new!E9&amp;" "&amp;adb_new!F9</f>
        <v xml:space="preserve"> bdc fx ts 0 0 0 655 0 0 0 0 0 0 0 0</v>
      </c>
    </row>
    <row r="10" spans="1:1" x14ac:dyDescent="0.25">
      <c r="A10" t="str">
        <f>adb_new!B10&amp;" "&amp;adb_new!C10&amp;" "&amp;adb_new!D10&amp;" "&amp;adb_new!E10&amp;" "&amp;adb_new!F10</f>
        <v xml:space="preserve">#    </v>
      </c>
    </row>
    <row r="11" spans="1:1" x14ac:dyDescent="0.25">
      <c r="A11" t="str">
        <f>adb_new!B11&amp;" "&amp;adb_new!C11&amp;" "&amp;adb_new!D11&amp;" "&amp;adb_new!E11&amp;" "&amp;adb_new!F11</f>
        <v xml:space="preserve">*    </v>
      </c>
    </row>
    <row r="12" spans="1:1" x14ac:dyDescent="0.25">
      <c r="A12" t="str">
        <f ca="1">adb_new!B12&amp;" "&amp;adb_new!C12&amp;" "&amp;adb_new!D12&amp;" "&amp;adb_new!E12&amp;" "&amp;adb_new!F12</f>
        <v xml:space="preserve">ELNCDorCIwGHw i   </v>
      </c>
    </row>
    <row r="13" spans="1:1" x14ac:dyDescent="0.25">
      <c r="A13" t="str">
        <f ca="1">adb_new!B13&amp;" "&amp;adb_new!C13&amp;" "&amp;adb_new!D13&amp;" "&amp;adb_new!E13&amp;" "&amp;adb_new!F13</f>
        <v xml:space="preserve"> minp e-B-CIw 1 </v>
      </c>
    </row>
    <row r="14" spans="1:1" x14ac:dyDescent="0.25">
      <c r="A14" t="str">
        <f ca="1">adb_new!B14&amp;" "&amp;adb_new!C14&amp;" "&amp;adb_new!D14&amp;" "&amp;adb_new!E14&amp;" "&amp;adb_new!F14</f>
        <v xml:space="preserve"> moutp e-D-GHw c 0.98</v>
      </c>
    </row>
    <row r="15" spans="1:1" x14ac:dyDescent="0.25">
      <c r="A15" t="str">
        <f ca="1">adb_new!B15&amp;" "&amp;adb_new!C15&amp;" "&amp;adb_new!D15&amp;" "&amp;adb_new!E15&amp;" "&amp;adb_new!F15</f>
        <v xml:space="preserve"> pll c 50 </v>
      </c>
    </row>
    <row r="16" spans="1:1" x14ac:dyDescent="0.25">
      <c r="A16" t="str">
        <f ca="1">adb_new!B16&amp;" "&amp;adb_new!C16&amp;" "&amp;adb_new!D16&amp;" "&amp;adb_new!E16&amp;" "&amp;adb_new!F16</f>
        <v xml:space="preserve"> inv c 137.4 </v>
      </c>
    </row>
    <row r="17" spans="1:1" x14ac:dyDescent="0.25">
      <c r="A17" t="str">
        <f ca="1">adb_new!B17&amp;" "&amp;adb_new!C17&amp;" "&amp;adb_new!D17&amp;" "&amp;adb_new!E17&amp;" "&amp;adb_new!F17</f>
        <v xml:space="preserve"> optm c 0.9956 </v>
      </c>
    </row>
    <row r="18" spans="1:1" x14ac:dyDescent="0.25">
      <c r="A18" t="str">
        <f ca="1">adb_new!B18&amp;" "&amp;adb_new!C18&amp;" "&amp;adb_new!D18&amp;" "&amp;adb_new!E18&amp;" "&amp;adb_new!F18</f>
        <v xml:space="preserve"> bdc fx ts 0 0 0 0 0 0 0 655 0 0 0 0</v>
      </c>
    </row>
    <row r="19" spans="1:1" x14ac:dyDescent="0.25">
      <c r="A19" t="str">
        <f>adb_new!B19&amp;" "&amp;adb_new!C19&amp;" "&amp;adb_new!D19&amp;" "&amp;adb_new!E19&amp;" "&amp;adb_new!F19</f>
        <v xml:space="preserve">#    </v>
      </c>
    </row>
    <row r="20" spans="1:1" x14ac:dyDescent="0.25">
      <c r="A20" t="str">
        <f>adb_new!B20&amp;" "&amp;adb_new!C20&amp;" "&amp;adb_new!D20&amp;" "&amp;adb_new!E20&amp;" "&amp;adb_new!F20</f>
        <v xml:space="preserve">*    </v>
      </c>
    </row>
    <row r="21" spans="1:1" x14ac:dyDescent="0.25">
      <c r="A21" t="str">
        <f ca="1">adb_new!B21&amp;" "&amp;adb_new!C21&amp;" "&amp;adb_new!D21&amp;" "&amp;adb_new!E21&amp;" "&amp;adb_new!F21</f>
        <v xml:space="preserve">ELNCDorTBwGHw j   </v>
      </c>
    </row>
    <row r="22" spans="1:1" x14ac:dyDescent="0.25">
      <c r="A22" t="str">
        <f ca="1">adb_new!B22&amp;" "&amp;adb_new!C22&amp;" "&amp;adb_new!D22&amp;" "&amp;adb_new!E22&amp;" "&amp;adb_new!F22</f>
        <v xml:space="preserve"> minp e-M-TBw 1 </v>
      </c>
    </row>
    <row r="23" spans="1:1" x14ac:dyDescent="0.25">
      <c r="A23" t="str">
        <f ca="1">adb_new!B23&amp;" "&amp;adb_new!C23&amp;" "&amp;adb_new!D23&amp;" "&amp;adb_new!E23&amp;" "&amp;adb_new!F23</f>
        <v xml:space="preserve"> moutp e-D-GHw c 0.975</v>
      </c>
    </row>
    <row r="24" spans="1:1" x14ac:dyDescent="0.25">
      <c r="A24" t="str">
        <f ca="1">adb_new!B24&amp;" "&amp;adb_new!C24&amp;" "&amp;adb_new!D24&amp;" "&amp;adb_new!E24&amp;" "&amp;adb_new!F24</f>
        <v xml:space="preserve"> pll c 50 </v>
      </c>
    </row>
    <row r="25" spans="1:1" x14ac:dyDescent="0.25">
      <c r="A25" t="str">
        <f ca="1">adb_new!B25&amp;" "&amp;adb_new!C25&amp;" "&amp;adb_new!D25&amp;" "&amp;adb_new!E25&amp;" "&amp;adb_new!F25</f>
        <v xml:space="preserve"> inv c 0 </v>
      </c>
    </row>
    <row r="26" spans="1:1" x14ac:dyDescent="0.25">
      <c r="A26" t="str">
        <f ca="1">adb_new!B26&amp;" "&amp;adb_new!C26&amp;" "&amp;adb_new!D26&amp;" "&amp;adb_new!E26&amp;" "&amp;adb_new!F26</f>
        <v xml:space="preserve"> optm c 0.9956 </v>
      </c>
    </row>
    <row r="27" spans="1:1" x14ac:dyDescent="0.25">
      <c r="A27" t="str">
        <f ca="1">adb_new!B27&amp;" "&amp;adb_new!C27&amp;" "&amp;adb_new!D27&amp;" "&amp;adb_new!E27&amp;" "&amp;adb_new!F27</f>
        <v xml:space="preserve"> bdc fx ts 0 0 0 655 0 0 0 0 0 0 0 0</v>
      </c>
    </row>
    <row r="28" spans="1:1" x14ac:dyDescent="0.25">
      <c r="A28" t="str">
        <f>adb_new!B28&amp;" "&amp;adb_new!C28&amp;" "&amp;adb_new!D28&amp;" "&amp;adb_new!E28&amp;" "&amp;adb_new!F28</f>
        <v xml:space="preserve">#    </v>
      </c>
    </row>
    <row r="29" spans="1:1" x14ac:dyDescent="0.25">
      <c r="A29" t="str">
        <f>adb_new!B29&amp;" "&amp;adb_new!C29&amp;" "&amp;adb_new!D29&amp;" "&amp;adb_new!E29&amp;" "&amp;adb_new!F29</f>
        <v xml:space="preserve">*    </v>
      </c>
    </row>
    <row r="30" spans="1:1" x14ac:dyDescent="0.25">
      <c r="A30" t="str">
        <f ca="1">adb_new!B30&amp;" "&amp;adb_new!C30&amp;" "&amp;adb_new!D30&amp;" "&amp;adb_new!E30&amp;" "&amp;adb_new!F30</f>
        <v xml:space="preserve">ELNCDorGHwCIw i   </v>
      </c>
    </row>
    <row r="31" spans="1:1" x14ac:dyDescent="0.25">
      <c r="A31" t="str">
        <f ca="1">adb_new!B31&amp;" "&amp;adb_new!C31&amp;" "&amp;adb_new!D31&amp;" "&amp;adb_new!E31&amp;" "&amp;adb_new!F31</f>
        <v xml:space="preserve"> minp e-D-GHw 1 </v>
      </c>
    </row>
    <row r="32" spans="1:1" x14ac:dyDescent="0.25">
      <c r="A32" t="str">
        <f ca="1">adb_new!B32&amp;" "&amp;adb_new!C32&amp;" "&amp;adb_new!D32&amp;" "&amp;adb_new!E32&amp;" "&amp;adb_new!F32</f>
        <v xml:space="preserve"> moutp e-B-CIw c 0.98</v>
      </c>
    </row>
    <row r="33" spans="1:1" x14ac:dyDescent="0.25">
      <c r="A33" t="str">
        <f ca="1">adb_new!B33&amp;" "&amp;adb_new!C33&amp;" "&amp;adb_new!D33&amp;" "&amp;adb_new!E33&amp;" "&amp;adb_new!F33</f>
        <v xml:space="preserve"> pll c 50 </v>
      </c>
    </row>
    <row r="34" spans="1:1" x14ac:dyDescent="0.25">
      <c r="A34" t="str">
        <f ca="1">adb_new!B34&amp;" "&amp;adb_new!C34&amp;" "&amp;adb_new!D34&amp;" "&amp;adb_new!E34&amp;" "&amp;adb_new!F34</f>
        <v xml:space="preserve"> inv c 0 </v>
      </c>
    </row>
    <row r="35" spans="1:1" x14ac:dyDescent="0.25">
      <c r="A35" t="str">
        <f ca="1">adb_new!B35&amp;" "&amp;adb_new!C35&amp;" "&amp;adb_new!D35&amp;" "&amp;adb_new!E35&amp;" "&amp;adb_new!F35</f>
        <v xml:space="preserve"> optm c 0.9956 </v>
      </c>
    </row>
    <row r="36" spans="1:1" x14ac:dyDescent="0.25">
      <c r="A36" t="str">
        <f ca="1">adb_new!B36&amp;" "&amp;adb_new!C36&amp;" "&amp;adb_new!D36&amp;" "&amp;adb_new!E36&amp;" "&amp;adb_new!F36</f>
        <v xml:space="preserve"> bdc fx ts 0 0 0 0 0 0 0 655 0 0 0 0</v>
      </c>
    </row>
    <row r="37" spans="1:1" x14ac:dyDescent="0.25">
      <c r="A37" t="str">
        <f>adb_new!B37&amp;" "&amp;adb_new!C37&amp;" "&amp;adb_new!D37&amp;" "&amp;adb_new!E37&amp;" "&amp;adb_new!F37</f>
        <v xml:space="preserve">#    </v>
      </c>
    </row>
    <row r="38" spans="1:1" x14ac:dyDescent="0.25">
      <c r="A38" t="str">
        <f>adb_new!B38&amp;" "&amp;adb_new!C38&amp;" "&amp;adb_new!D38&amp;" "&amp;adb_new!E38&amp;" "&amp;adb_new!F38</f>
        <v xml:space="preserve">    </v>
      </c>
    </row>
    <row r="39" spans="1:1" x14ac:dyDescent="0.25">
      <c r="A39" t="str">
        <f>adb_new!B39&amp;" "&amp;adb_new!C39&amp;" "&amp;adb_new!D39&amp;" "&amp;adb_new!E39&amp;" "&amp;adb_new!F39</f>
        <v xml:space="preserve">*    </v>
      </c>
    </row>
    <row r="40" spans="1:1" x14ac:dyDescent="0.25">
      <c r="A40" t="str">
        <f ca="1">adb_new!B40&amp;" "&amp;adb_new!C40&amp;" "&amp;adb_new!D40&amp;" "&amp;adb_new!E40&amp;" "&amp;adb_new!F40</f>
        <v xml:space="preserve">ELNCCLSGCIwLIw i   </v>
      </c>
    </row>
    <row r="41" spans="1:1" x14ac:dyDescent="0.25">
      <c r="A41" t="str">
        <f ca="1">adb_new!B41&amp;" "&amp;adb_new!C41&amp;" "&amp;adb_new!D41&amp;" "&amp;adb_new!E41&amp;" "&amp;adb_new!F41</f>
        <v xml:space="preserve"> minp e-B-CIw 1 </v>
      </c>
    </row>
    <row r="42" spans="1:1" x14ac:dyDescent="0.25">
      <c r="A42" t="str">
        <f ca="1">adb_new!B42&amp;" "&amp;adb_new!C42&amp;" "&amp;adb_new!D42&amp;" "&amp;adb_new!E42&amp;" "&amp;adb_new!F42</f>
        <v xml:space="preserve"> moutp e-G-LIw c 0.975</v>
      </c>
    </row>
    <row r="43" spans="1:1" x14ac:dyDescent="0.25">
      <c r="A43" t="str">
        <f ca="1">adb_new!B43&amp;" "&amp;adb_new!C43&amp;" "&amp;adb_new!D43&amp;" "&amp;adb_new!E43&amp;" "&amp;adb_new!F43</f>
        <v xml:space="preserve"> pll c 50 </v>
      </c>
    </row>
    <row r="44" spans="1:1" x14ac:dyDescent="0.25">
      <c r="A44" t="str">
        <f ca="1">adb_new!B44&amp;" "&amp;adb_new!C44&amp;" "&amp;adb_new!D44&amp;" "&amp;adb_new!E44&amp;" "&amp;adb_new!F44</f>
        <v xml:space="preserve"> inv c 176.9 </v>
      </c>
    </row>
    <row r="45" spans="1:1" x14ac:dyDescent="0.25">
      <c r="A45" t="str">
        <f ca="1">adb_new!B45&amp;" "&amp;adb_new!C45&amp;" "&amp;adb_new!D45&amp;" "&amp;adb_new!E45&amp;" "&amp;adb_new!F45</f>
        <v xml:space="preserve"> optm c 0.9974 </v>
      </c>
    </row>
    <row r="46" spans="1:1" x14ac:dyDescent="0.25">
      <c r="A46" t="str">
        <f ca="1">adb_new!B46&amp;" "&amp;adb_new!C46&amp;" "&amp;adb_new!D46&amp;" "&amp;adb_new!E46&amp;" "&amp;adb_new!F46</f>
        <v xml:space="preserve"> bdc fx ts 0 0 0 0 0 338 0 0 0 0 0 0</v>
      </c>
    </row>
    <row r="47" spans="1:1" x14ac:dyDescent="0.25">
      <c r="A47" t="str">
        <f>adb_new!B47&amp;" "&amp;adb_new!C47&amp;" "&amp;adb_new!D47&amp;" "&amp;adb_new!E47&amp;" "&amp;adb_new!F47</f>
        <v xml:space="preserve">#    </v>
      </c>
    </row>
    <row r="48" spans="1:1" x14ac:dyDescent="0.25">
      <c r="A48" t="str">
        <f>adb_new!B48&amp;" "&amp;adb_new!C48&amp;" "&amp;adb_new!D48&amp;" "&amp;adb_new!E48&amp;" "&amp;adb_new!F48</f>
        <v xml:space="preserve">*    </v>
      </c>
    </row>
    <row r="49" spans="1:1" x14ac:dyDescent="0.25">
      <c r="A49" t="str">
        <f ca="1">adb_new!B49&amp;" "&amp;adb_new!C49&amp;" "&amp;adb_new!D49&amp;" "&amp;adb_new!E49&amp;" "&amp;adb_new!F49</f>
        <v xml:space="preserve">ELNCCLSGLIwGUw i   </v>
      </c>
    </row>
    <row r="50" spans="1:1" x14ac:dyDescent="0.25">
      <c r="A50" t="str">
        <f ca="1">adb_new!B50&amp;" "&amp;adb_new!C50&amp;" "&amp;adb_new!D50&amp;" "&amp;adb_new!E50&amp;" "&amp;adb_new!F50</f>
        <v xml:space="preserve"> minp e-G-LIw 1 </v>
      </c>
    </row>
    <row r="51" spans="1:1" x14ac:dyDescent="0.25">
      <c r="A51" t="str">
        <f ca="1">adb_new!B51&amp;" "&amp;adb_new!C51&amp;" "&amp;adb_new!D51&amp;" "&amp;adb_new!E51&amp;" "&amp;adb_new!F51</f>
        <v xml:space="preserve"> moutp e-E-GUw c 0.975</v>
      </c>
    </row>
    <row r="52" spans="1:1" x14ac:dyDescent="0.25">
      <c r="A52" t="str">
        <f ca="1">adb_new!B52&amp;" "&amp;adb_new!C52&amp;" "&amp;adb_new!D52&amp;" "&amp;adb_new!E52&amp;" "&amp;adb_new!F52</f>
        <v xml:space="preserve"> pll c 50 </v>
      </c>
    </row>
    <row r="53" spans="1:1" x14ac:dyDescent="0.25">
      <c r="A53" t="str">
        <f ca="1">adb_new!B53&amp;" "&amp;adb_new!C53&amp;" "&amp;adb_new!D53&amp;" "&amp;adb_new!E53&amp;" "&amp;adb_new!F53</f>
        <v xml:space="preserve"> inv c 176.9 </v>
      </c>
    </row>
    <row r="54" spans="1:1" x14ac:dyDescent="0.25">
      <c r="A54" t="str">
        <f ca="1">adb_new!B54&amp;" "&amp;adb_new!C54&amp;" "&amp;adb_new!D54&amp;" "&amp;adb_new!E54&amp;" "&amp;adb_new!F54</f>
        <v xml:space="preserve"> optm c 0.9974 </v>
      </c>
    </row>
    <row r="55" spans="1:1" x14ac:dyDescent="0.25">
      <c r="A55" t="str">
        <f ca="1">adb_new!B55&amp;" "&amp;adb_new!C55&amp;" "&amp;adb_new!D55&amp;" "&amp;adb_new!E55&amp;" "&amp;adb_new!F55</f>
        <v xml:space="preserve"> bdc fx ts 0 0 0 0 0 338 0 0 0 0 0 0</v>
      </c>
    </row>
    <row r="56" spans="1:1" x14ac:dyDescent="0.25">
      <c r="A56" t="str">
        <f>adb_new!B56&amp;" "&amp;adb_new!C56&amp;" "&amp;adb_new!D56&amp;" "&amp;adb_new!E56&amp;" "&amp;adb_new!F56</f>
        <v xml:space="preserve">#    </v>
      </c>
    </row>
    <row r="57" spans="1:1" x14ac:dyDescent="0.25">
      <c r="A57" t="str">
        <f>adb_new!B57&amp;" "&amp;adb_new!C57&amp;" "&amp;adb_new!D57&amp;" "&amp;adb_new!E57&amp;" "&amp;adb_new!F57</f>
        <v xml:space="preserve">*    </v>
      </c>
    </row>
    <row r="58" spans="1:1" x14ac:dyDescent="0.25">
      <c r="A58" t="str">
        <f ca="1">adb_new!B58&amp;" "&amp;adb_new!C58&amp;" "&amp;adb_new!D58&amp;" "&amp;adb_new!E58&amp;" "&amp;adb_new!F58</f>
        <v xml:space="preserve">ELNCCLSGLIwSIw i   </v>
      </c>
    </row>
    <row r="59" spans="1:1" x14ac:dyDescent="0.25">
      <c r="A59" t="str">
        <f ca="1">adb_new!B59&amp;" "&amp;adb_new!C59&amp;" "&amp;adb_new!D59&amp;" "&amp;adb_new!E59&amp;" "&amp;adb_new!F59</f>
        <v xml:space="preserve"> minp e-G-LIw 1 </v>
      </c>
    </row>
    <row r="60" spans="1:1" x14ac:dyDescent="0.25">
      <c r="A60" t="str">
        <f ca="1">adb_new!B60&amp;" "&amp;adb_new!C60&amp;" "&amp;adb_new!D60&amp;" "&amp;adb_new!E60&amp;" "&amp;adb_new!F60</f>
        <v xml:space="preserve"> moutp e-L-SIw c 0.932072792970354</v>
      </c>
    </row>
    <row r="61" spans="1:1" x14ac:dyDescent="0.25">
      <c r="A61" t="str">
        <f ca="1">adb_new!B61&amp;" "&amp;adb_new!C61&amp;" "&amp;adb_new!D61&amp;" "&amp;adb_new!E61&amp;" "&amp;adb_new!F61</f>
        <v xml:space="preserve"> pll c 50 </v>
      </c>
    </row>
    <row r="62" spans="1:1" x14ac:dyDescent="0.25">
      <c r="A62" t="str">
        <f ca="1">adb_new!B62&amp;" "&amp;adb_new!C62&amp;" "&amp;adb_new!D62&amp;" "&amp;adb_new!E62&amp;" "&amp;adb_new!F62</f>
        <v xml:space="preserve"> inv c 815.6 </v>
      </c>
    </row>
    <row r="63" spans="1:1" x14ac:dyDescent="0.25">
      <c r="A63" t="str">
        <f ca="1">adb_new!B63&amp;" "&amp;adb_new!C63&amp;" "&amp;adb_new!D63&amp;" "&amp;adb_new!E63&amp;" "&amp;adb_new!F63</f>
        <v xml:space="preserve"> optm c 0.9894 </v>
      </c>
    </row>
    <row r="64" spans="1:1" x14ac:dyDescent="0.25">
      <c r="A64" t="str">
        <f ca="1">adb_new!B64&amp;" "&amp;adb_new!C64&amp;" "&amp;adb_new!D64&amp;" "&amp;adb_new!E64&amp;" "&amp;adb_new!F64</f>
        <v xml:space="preserve"> bdc fx ts 0 0 0 0 0 303 0 0 0 0 0 0</v>
      </c>
    </row>
    <row r="65" spans="1:1" x14ac:dyDescent="0.25">
      <c r="A65" t="str">
        <f>adb_new!B65&amp;" "&amp;adb_new!C65&amp;" "&amp;adb_new!D65&amp;" "&amp;adb_new!E65&amp;" "&amp;adb_new!F65</f>
        <v xml:space="preserve">#    </v>
      </c>
    </row>
    <row r="66" spans="1:1" x14ac:dyDescent="0.25">
      <c r="A66" t="str">
        <f>adb_new!B66&amp;" "&amp;adb_new!C66&amp;" "&amp;adb_new!D66&amp;" "&amp;adb_new!E66&amp;" "&amp;adb_new!F66</f>
        <v xml:space="preserve">*    </v>
      </c>
    </row>
    <row r="67" spans="1:1" x14ac:dyDescent="0.25">
      <c r="A67" t="str">
        <f ca="1">adb_new!B67&amp;" "&amp;adb_new!C67&amp;" "&amp;adb_new!D67&amp;" "&amp;adb_new!E67&amp;" "&amp;adb_new!F67</f>
        <v xml:space="preserve">ELNCCLSGSIwGUw j   </v>
      </c>
    </row>
    <row r="68" spans="1:1" x14ac:dyDescent="0.25">
      <c r="A68" t="str">
        <f ca="1">adb_new!B68&amp;" "&amp;adb_new!C68&amp;" "&amp;adb_new!D68&amp;" "&amp;adb_new!E68&amp;" "&amp;adb_new!F68</f>
        <v xml:space="preserve"> minp e-L-SIw 1 </v>
      </c>
    </row>
    <row r="69" spans="1:1" x14ac:dyDescent="0.25">
      <c r="A69" t="str">
        <f ca="1">adb_new!B69&amp;" "&amp;adb_new!C69&amp;" "&amp;adb_new!D69&amp;" "&amp;adb_new!E69&amp;" "&amp;adb_new!F69</f>
        <v xml:space="preserve"> moutp e-E-GUw c 0.975</v>
      </c>
    </row>
    <row r="70" spans="1:1" x14ac:dyDescent="0.25">
      <c r="A70" t="str">
        <f ca="1">adb_new!B70&amp;" "&amp;adb_new!C70&amp;" "&amp;adb_new!D70&amp;" "&amp;adb_new!E70&amp;" "&amp;adb_new!F70</f>
        <v xml:space="preserve"> pll c 50 </v>
      </c>
    </row>
    <row r="71" spans="1:1" x14ac:dyDescent="0.25">
      <c r="A71" t="str">
        <f ca="1">adb_new!B71&amp;" "&amp;adb_new!C71&amp;" "&amp;adb_new!D71&amp;" "&amp;adb_new!E71&amp;" "&amp;adb_new!F71</f>
        <v xml:space="preserve"> inv c 242.9 </v>
      </c>
    </row>
    <row r="72" spans="1:1" x14ac:dyDescent="0.25">
      <c r="A72" t="str">
        <f ca="1">adb_new!B72&amp;" "&amp;adb_new!C72&amp;" "&amp;adb_new!D72&amp;" "&amp;adb_new!E72&amp;" "&amp;adb_new!F72</f>
        <v xml:space="preserve"> optm c 0.9965 </v>
      </c>
    </row>
    <row r="73" spans="1:1" x14ac:dyDescent="0.25">
      <c r="A73" t="str">
        <f ca="1">adb_new!B73&amp;" "&amp;adb_new!C73&amp;" "&amp;adb_new!D73&amp;" "&amp;adb_new!E73&amp;" "&amp;adb_new!F73</f>
        <v xml:space="preserve"> bdc fx ts 0 0 0 0 0 334 0 0 0 0 0 0</v>
      </c>
    </row>
    <row r="74" spans="1:1" x14ac:dyDescent="0.25">
      <c r="A74" t="str">
        <f>adb_new!B74&amp;" "&amp;adb_new!C74&amp;" "&amp;adb_new!D74&amp;" "&amp;adb_new!E74&amp;" "&amp;adb_new!F74</f>
        <v xml:space="preserve">#    </v>
      </c>
    </row>
    <row r="75" spans="1:1" x14ac:dyDescent="0.25">
      <c r="A75" t="str">
        <f>adb_new!B75&amp;" "&amp;adb_new!C75&amp;" "&amp;adb_new!D75&amp;" "&amp;adb_new!E75&amp;" "&amp;adb_new!F75</f>
        <v xml:space="preserve">*    </v>
      </c>
    </row>
    <row r="76" spans="1:1" x14ac:dyDescent="0.25">
      <c r="A76" t="str">
        <f ca="1">adb_new!B76&amp;" "&amp;adb_new!C76&amp;" "&amp;adb_new!D76&amp;" "&amp;adb_new!E76&amp;" "&amp;adb_new!F76</f>
        <v xml:space="preserve">ELNCCLSGLIwCIw j   </v>
      </c>
    </row>
    <row r="77" spans="1:1" x14ac:dyDescent="0.25">
      <c r="A77" t="str">
        <f ca="1">adb_new!B77&amp;" "&amp;adb_new!C77&amp;" "&amp;adb_new!D77&amp;" "&amp;adb_new!E77&amp;" "&amp;adb_new!F77</f>
        <v xml:space="preserve"> minp e-G-LIw 1 </v>
      </c>
    </row>
    <row r="78" spans="1:1" x14ac:dyDescent="0.25">
      <c r="A78" t="str">
        <f ca="1">adb_new!B78&amp;" "&amp;adb_new!C78&amp;" "&amp;adb_new!D78&amp;" "&amp;adb_new!E78&amp;" "&amp;adb_new!F78</f>
        <v xml:space="preserve"> moutp e-B-CIw c 0.975</v>
      </c>
    </row>
    <row r="79" spans="1:1" x14ac:dyDescent="0.25">
      <c r="A79" t="str">
        <f ca="1">adb_new!B79&amp;" "&amp;adb_new!C79&amp;" "&amp;adb_new!D79&amp;" "&amp;adb_new!E79&amp;" "&amp;adb_new!F79</f>
        <v xml:space="preserve"> pll c 50 </v>
      </c>
    </row>
    <row r="80" spans="1:1" x14ac:dyDescent="0.25">
      <c r="A80" t="str">
        <f ca="1">adb_new!B80&amp;" "&amp;adb_new!C80&amp;" "&amp;adb_new!D80&amp;" "&amp;adb_new!E80&amp;" "&amp;adb_new!F80</f>
        <v xml:space="preserve"> inv c 0 </v>
      </c>
    </row>
    <row r="81" spans="1:1" x14ac:dyDescent="0.25">
      <c r="A81" t="str">
        <f ca="1">adb_new!B81&amp;" "&amp;adb_new!C81&amp;" "&amp;adb_new!D81&amp;" "&amp;adb_new!E81&amp;" "&amp;adb_new!F81</f>
        <v xml:space="preserve"> optm c 0.9974 </v>
      </c>
    </row>
    <row r="82" spans="1:1" x14ac:dyDescent="0.25">
      <c r="A82" t="str">
        <f ca="1">adb_new!B82&amp;" "&amp;adb_new!C82&amp;" "&amp;adb_new!D82&amp;" "&amp;adb_new!E82&amp;" "&amp;adb_new!F82</f>
        <v xml:space="preserve"> bdc fx ts 0 0 0 0 0 338 0 0 0 0 0 0</v>
      </c>
    </row>
    <row r="83" spans="1:1" x14ac:dyDescent="0.25">
      <c r="A83" t="str">
        <f>adb_new!B83&amp;" "&amp;adb_new!C83&amp;" "&amp;adb_new!D83&amp;" "&amp;adb_new!E83&amp;" "&amp;adb_new!F83</f>
        <v xml:space="preserve">#    </v>
      </c>
    </row>
    <row r="84" spans="1:1" x14ac:dyDescent="0.25">
      <c r="A84" t="str">
        <f>adb_new!B84&amp;" "&amp;adb_new!C84&amp;" "&amp;adb_new!D84&amp;" "&amp;adb_new!E84&amp;" "&amp;adb_new!F84</f>
        <v xml:space="preserve">*    </v>
      </c>
    </row>
    <row r="85" spans="1:1" x14ac:dyDescent="0.25">
      <c r="A85" t="str">
        <f ca="1">adb_new!B85&amp;" "&amp;adb_new!C85&amp;" "&amp;adb_new!D85&amp;" "&amp;adb_new!E85&amp;" "&amp;adb_new!F85</f>
        <v xml:space="preserve">ELNCCLSGGUwLIw j   </v>
      </c>
    </row>
    <row r="86" spans="1:1" x14ac:dyDescent="0.25">
      <c r="A86" t="str">
        <f ca="1">adb_new!B86&amp;" "&amp;adb_new!C86&amp;" "&amp;adb_new!D86&amp;" "&amp;adb_new!E86&amp;" "&amp;adb_new!F86</f>
        <v xml:space="preserve"> minp e-E-GUw 1 </v>
      </c>
    </row>
    <row r="87" spans="1:1" x14ac:dyDescent="0.25">
      <c r="A87" t="str">
        <f ca="1">adb_new!B87&amp;" "&amp;adb_new!C87&amp;" "&amp;adb_new!D87&amp;" "&amp;adb_new!E87&amp;" "&amp;adb_new!F87</f>
        <v xml:space="preserve"> moutp e-G-LIw c 0.975</v>
      </c>
    </row>
    <row r="88" spans="1:1" x14ac:dyDescent="0.25">
      <c r="A88" t="str">
        <f ca="1">adb_new!B88&amp;" "&amp;adb_new!C88&amp;" "&amp;adb_new!D88&amp;" "&amp;adb_new!E88&amp;" "&amp;adb_new!F88</f>
        <v xml:space="preserve"> pll c 50 </v>
      </c>
    </row>
    <row r="89" spans="1:1" x14ac:dyDescent="0.25">
      <c r="A89" t="str">
        <f ca="1">adb_new!B89&amp;" "&amp;adb_new!C89&amp;" "&amp;adb_new!D89&amp;" "&amp;adb_new!E89&amp;" "&amp;adb_new!F89</f>
        <v xml:space="preserve"> inv c 0 </v>
      </c>
    </row>
    <row r="90" spans="1:1" x14ac:dyDescent="0.25">
      <c r="A90" t="str">
        <f ca="1">adb_new!B90&amp;" "&amp;adb_new!C90&amp;" "&amp;adb_new!D90&amp;" "&amp;adb_new!E90&amp;" "&amp;adb_new!F90</f>
        <v xml:space="preserve"> optm c 0.9974 </v>
      </c>
    </row>
    <row r="91" spans="1:1" x14ac:dyDescent="0.25">
      <c r="A91" t="str">
        <f ca="1">adb_new!B91&amp;" "&amp;adb_new!C91&amp;" "&amp;adb_new!D91&amp;" "&amp;adb_new!E91&amp;" "&amp;adb_new!F91</f>
        <v xml:space="preserve"> bdc fx ts 0 0 0 0 0 338 0 0 0 0 0 0</v>
      </c>
    </row>
    <row r="92" spans="1:1" x14ac:dyDescent="0.25">
      <c r="A92" t="str">
        <f>adb_new!B92&amp;" "&amp;adb_new!C92&amp;" "&amp;adb_new!D92&amp;" "&amp;adb_new!E92&amp;" "&amp;adb_new!F92</f>
        <v xml:space="preserve">#    </v>
      </c>
    </row>
    <row r="93" spans="1:1" x14ac:dyDescent="0.25">
      <c r="A93" t="str">
        <f>adb_new!B93&amp;" "&amp;adb_new!C93&amp;" "&amp;adb_new!D93&amp;" "&amp;adb_new!E93&amp;" "&amp;adb_new!F93</f>
        <v xml:space="preserve">*    </v>
      </c>
    </row>
    <row r="94" spans="1:1" x14ac:dyDescent="0.25">
      <c r="A94" t="str">
        <f ca="1">adb_new!B94&amp;" "&amp;adb_new!C94&amp;" "&amp;adb_new!D94&amp;" "&amp;adb_new!E94&amp;" "&amp;adb_new!F94</f>
        <v xml:space="preserve">ELNCCLSGSIwLIw k   </v>
      </c>
    </row>
    <row r="95" spans="1:1" x14ac:dyDescent="0.25">
      <c r="A95" t="str">
        <f ca="1">adb_new!B95&amp;" "&amp;adb_new!C95&amp;" "&amp;adb_new!D95&amp;" "&amp;adb_new!E95&amp;" "&amp;adb_new!F95</f>
        <v xml:space="preserve"> minp e-L-SIw 1 </v>
      </c>
    </row>
    <row r="96" spans="1:1" x14ac:dyDescent="0.25">
      <c r="A96" t="str">
        <f ca="1">adb_new!B96&amp;" "&amp;adb_new!C96&amp;" "&amp;adb_new!D96&amp;" "&amp;adb_new!E96&amp;" "&amp;adb_new!F96</f>
        <v xml:space="preserve"> moutp e-G-LIw c 0.932072792970354</v>
      </c>
    </row>
    <row r="97" spans="1:1" x14ac:dyDescent="0.25">
      <c r="A97" t="str">
        <f ca="1">adb_new!B97&amp;" "&amp;adb_new!C97&amp;" "&amp;adb_new!D97&amp;" "&amp;adb_new!E97&amp;" "&amp;adb_new!F97</f>
        <v xml:space="preserve"> pll c 50 </v>
      </c>
    </row>
    <row r="98" spans="1:1" x14ac:dyDescent="0.25">
      <c r="A98" t="str">
        <f ca="1">adb_new!B98&amp;" "&amp;adb_new!C98&amp;" "&amp;adb_new!D98&amp;" "&amp;adb_new!E98&amp;" "&amp;adb_new!F98</f>
        <v xml:space="preserve"> inv c 0 </v>
      </c>
    </row>
    <row r="99" spans="1:1" x14ac:dyDescent="0.25">
      <c r="A99" t="str">
        <f ca="1">adb_new!B99&amp;" "&amp;adb_new!C99&amp;" "&amp;adb_new!D99&amp;" "&amp;adb_new!E99&amp;" "&amp;adb_new!F99</f>
        <v xml:space="preserve"> optm c 0.9894 </v>
      </c>
    </row>
    <row r="100" spans="1:1" x14ac:dyDescent="0.25">
      <c r="A100" t="str">
        <f ca="1">adb_new!B100&amp;" "&amp;adb_new!C100&amp;" "&amp;adb_new!D100&amp;" "&amp;adb_new!E100&amp;" "&amp;adb_new!F100</f>
        <v xml:space="preserve"> bdc fx ts 0 0 0 0 0 303 0 0 0 0 0 0</v>
      </c>
    </row>
    <row r="101" spans="1:1" x14ac:dyDescent="0.25">
      <c r="A101" t="str">
        <f>adb_new!B101&amp;" "&amp;adb_new!C101&amp;" "&amp;adb_new!D101&amp;" "&amp;adb_new!E101&amp;" "&amp;adb_new!F101</f>
        <v xml:space="preserve">#    </v>
      </c>
    </row>
    <row r="102" spans="1:1" x14ac:dyDescent="0.25">
      <c r="A102" t="str">
        <f>adb_new!B102&amp;" "&amp;adb_new!C102&amp;" "&amp;adb_new!D102&amp;" "&amp;adb_new!E102&amp;" "&amp;adb_new!F102</f>
        <v xml:space="preserve">*    </v>
      </c>
    </row>
    <row r="103" spans="1:1" x14ac:dyDescent="0.25">
      <c r="A103" t="str">
        <f ca="1">adb_new!B103&amp;" "&amp;adb_new!C103&amp;" "&amp;adb_new!D103&amp;" "&amp;adb_new!E103&amp;" "&amp;adb_new!F103</f>
        <v xml:space="preserve">ELNCCLSGGUwSIw j   </v>
      </c>
    </row>
    <row r="104" spans="1:1" x14ac:dyDescent="0.25">
      <c r="A104" t="str">
        <f ca="1">adb_new!B104&amp;" "&amp;adb_new!C104&amp;" "&amp;adb_new!D104&amp;" "&amp;adb_new!E104&amp;" "&amp;adb_new!F104</f>
        <v xml:space="preserve"> minp e-E-GUw 1 </v>
      </c>
    </row>
    <row r="105" spans="1:1" x14ac:dyDescent="0.25">
      <c r="A105" t="str">
        <f ca="1">adb_new!B105&amp;" "&amp;adb_new!C105&amp;" "&amp;adb_new!D105&amp;" "&amp;adb_new!E105&amp;" "&amp;adb_new!F105</f>
        <v xml:space="preserve"> moutp e-L-SIw c 0.975</v>
      </c>
    </row>
    <row r="106" spans="1:1" x14ac:dyDescent="0.25">
      <c r="A106" t="str">
        <f ca="1">adb_new!B106&amp;" "&amp;adb_new!C106&amp;" "&amp;adb_new!D106&amp;" "&amp;adb_new!E106&amp;" "&amp;adb_new!F106</f>
        <v xml:space="preserve"> pll c 50 </v>
      </c>
    </row>
    <row r="107" spans="1:1" x14ac:dyDescent="0.25">
      <c r="A107" t="str">
        <f ca="1">adb_new!B107&amp;" "&amp;adb_new!C107&amp;" "&amp;adb_new!D107&amp;" "&amp;adb_new!E107&amp;" "&amp;adb_new!F107</f>
        <v xml:space="preserve"> inv c 0 </v>
      </c>
    </row>
    <row r="108" spans="1:1" x14ac:dyDescent="0.25">
      <c r="A108" t="str">
        <f ca="1">adb_new!B108&amp;" "&amp;adb_new!C108&amp;" "&amp;adb_new!D108&amp;" "&amp;adb_new!E108&amp;" "&amp;adb_new!F108</f>
        <v xml:space="preserve"> optm c 0.9965 </v>
      </c>
    </row>
    <row r="109" spans="1:1" x14ac:dyDescent="0.25">
      <c r="A109" t="str">
        <f ca="1">adb_new!B109&amp;" "&amp;adb_new!C109&amp;" "&amp;adb_new!D109&amp;" "&amp;adb_new!E109&amp;" "&amp;adb_new!F109</f>
        <v xml:space="preserve"> bdc fx ts 0 0 0 0 0 334 0 0 0 0 0 0</v>
      </c>
    </row>
    <row r="110" spans="1:1" x14ac:dyDescent="0.25">
      <c r="A110" t="str">
        <f>adb_new!B110&amp;" "&amp;adb_new!C110&amp;" "&amp;adb_new!D110&amp;" "&amp;adb_new!E110&amp;" "&amp;adb_new!F110</f>
        <v xml:space="preserve">#    </v>
      </c>
    </row>
    <row r="111" spans="1:1" x14ac:dyDescent="0.25">
      <c r="A111" t="str">
        <f>adb_new!B111&amp;" "&amp;adb_new!C111&amp;" "&amp;adb_new!D111&amp;" "&amp;adb_new!E111&amp;" "&amp;adb_new!F111</f>
        <v xml:space="preserve">    </v>
      </c>
    </row>
    <row r="112" spans="1:1" x14ac:dyDescent="0.25">
      <c r="A112" t="str">
        <f>adb_new!B112&amp;" "&amp;adb_new!C112&amp;" "&amp;adb_new!D112&amp;" "&amp;adb_new!E112&amp;" "&amp;adb_new!F112</f>
        <v xml:space="preserve">*    </v>
      </c>
    </row>
    <row r="113" spans="1:1" x14ac:dyDescent="0.25">
      <c r="A113" t="str">
        <f ca="1">adb_new!B113&amp;" "&amp;adb_new!C113&amp;" "&amp;adb_new!D113&amp;" "&amp;adb_new!E113&amp;" "&amp;adb_new!F113</f>
        <v xml:space="preserve">ELNCOMVGSEwGUw k   </v>
      </c>
    </row>
    <row r="114" spans="1:1" x14ac:dyDescent="0.25">
      <c r="A114" t="str">
        <f ca="1">adb_new!B114&amp;" "&amp;adb_new!C114&amp;" "&amp;adb_new!D114&amp;" "&amp;adb_new!E114&amp;" "&amp;adb_new!F114</f>
        <v xml:space="preserve"> minp e-K-SEw 1 </v>
      </c>
    </row>
    <row r="115" spans="1:1" x14ac:dyDescent="0.25">
      <c r="A115" t="str">
        <f ca="1">adb_new!B115&amp;" "&amp;adb_new!C115&amp;" "&amp;adb_new!D115&amp;" "&amp;adb_new!E115&amp;" "&amp;adb_new!F115</f>
        <v xml:space="preserve"> moutp e-E-GUw c 0.906</v>
      </c>
    </row>
    <row r="116" spans="1:1" x14ac:dyDescent="0.25">
      <c r="A116" t="str">
        <f ca="1">adb_new!B116&amp;" "&amp;adb_new!C116&amp;" "&amp;adb_new!D116&amp;" "&amp;adb_new!E116&amp;" "&amp;adb_new!F116</f>
        <v xml:space="preserve"> pll c 50 </v>
      </c>
    </row>
    <row r="117" spans="1:1" x14ac:dyDescent="0.25">
      <c r="A117" t="str">
        <f ca="1">adb_new!B117&amp;" "&amp;adb_new!C117&amp;" "&amp;adb_new!D117&amp;" "&amp;adb_new!E117&amp;" "&amp;adb_new!F117</f>
        <v xml:space="preserve"> inv c 1012.3 </v>
      </c>
    </row>
    <row r="118" spans="1:1" x14ac:dyDescent="0.25">
      <c r="A118" t="str">
        <f ca="1">adb_new!B118&amp;" "&amp;adb_new!C118&amp;" "&amp;adb_new!D118&amp;" "&amp;adb_new!E118&amp;" "&amp;adb_new!F118</f>
        <v xml:space="preserve"> optm c 0.9854 </v>
      </c>
    </row>
    <row r="119" spans="1:1" x14ac:dyDescent="0.25">
      <c r="A119" t="str">
        <f ca="1">adb_new!B119&amp;" "&amp;adb_new!C119&amp;" "&amp;adb_new!D119&amp;" "&amp;adb_new!E119&amp;" "&amp;adb_new!F119</f>
        <v xml:space="preserve"> bdc fx ts 0 0 0 0 0 0 0 286 0 0 0 0</v>
      </c>
    </row>
    <row r="120" spans="1:1" x14ac:dyDescent="0.25">
      <c r="A120" t="str">
        <f>adb_new!B120&amp;" "&amp;adb_new!C120&amp;" "&amp;adb_new!D120&amp;" "&amp;adb_new!E120&amp;" "&amp;adb_new!F120</f>
        <v xml:space="preserve">#    </v>
      </c>
    </row>
    <row r="121" spans="1:1" x14ac:dyDescent="0.25">
      <c r="A121" t="str">
        <f>adb_new!B121&amp;" "&amp;adb_new!C121&amp;" "&amp;adb_new!D121&amp;" "&amp;adb_new!E121&amp;" "&amp;adb_new!F121</f>
        <v xml:space="preserve">*    </v>
      </c>
    </row>
    <row r="122" spans="1:1" x14ac:dyDescent="0.25">
      <c r="A122" t="str">
        <f ca="1">adb_new!B122&amp;" "&amp;adb_new!C122&amp;" "&amp;adb_new!D122&amp;" "&amp;adb_new!E122&amp;" "&amp;adb_new!F122</f>
        <v xml:space="preserve">ELNCOMVGSEwGAw i   </v>
      </c>
    </row>
    <row r="123" spans="1:1" x14ac:dyDescent="0.25">
      <c r="A123" t="str">
        <f ca="1">adb_new!B123&amp;" "&amp;adb_new!C123&amp;" "&amp;adb_new!D123&amp;" "&amp;adb_new!E123&amp;" "&amp;adb_new!F123</f>
        <v xml:space="preserve"> minp e-K-SEw 1 </v>
      </c>
    </row>
    <row r="124" spans="1:1" x14ac:dyDescent="0.25">
      <c r="A124" t="str">
        <f ca="1">adb_new!B124&amp;" "&amp;adb_new!C124&amp;" "&amp;adb_new!D124&amp;" "&amp;adb_new!E124&amp;" "&amp;adb_new!F124</f>
        <v xml:space="preserve"> moutp e-C-GAw c 0.975</v>
      </c>
    </row>
    <row r="125" spans="1:1" x14ac:dyDescent="0.25">
      <c r="A125" t="str">
        <f ca="1">adb_new!B125&amp;" "&amp;adb_new!C125&amp;" "&amp;adb_new!D125&amp;" "&amp;adb_new!E125&amp;" "&amp;adb_new!F125</f>
        <v xml:space="preserve"> pll c 50 </v>
      </c>
    </row>
    <row r="126" spans="1:1" x14ac:dyDescent="0.25">
      <c r="A126" t="str">
        <f ca="1">adb_new!B126&amp;" "&amp;adb_new!C126&amp;" "&amp;adb_new!D126&amp;" "&amp;adb_new!E126&amp;" "&amp;adb_new!F126</f>
        <v xml:space="preserve"> inv c 106.3 </v>
      </c>
    </row>
    <row r="127" spans="1:1" x14ac:dyDescent="0.25">
      <c r="A127" t="str">
        <f ca="1">adb_new!B127&amp;" "&amp;adb_new!C127&amp;" "&amp;adb_new!D127&amp;" "&amp;adb_new!E127&amp;" "&amp;adb_new!F127</f>
        <v xml:space="preserve"> optm c 0.9982 </v>
      </c>
    </row>
    <row r="128" spans="1:1" x14ac:dyDescent="0.25">
      <c r="A128" t="str">
        <f ca="1">adb_new!B128&amp;" "&amp;adb_new!C128&amp;" "&amp;adb_new!D128&amp;" "&amp;adb_new!E128&amp;" "&amp;adb_new!F128</f>
        <v xml:space="preserve"> bdc fx ts 0 0 0 0 0 0 0 341 0 0 0 0</v>
      </c>
    </row>
    <row r="129" spans="1:1" x14ac:dyDescent="0.25">
      <c r="A129" t="str">
        <f>adb_new!B129&amp;" "&amp;adb_new!C129&amp;" "&amp;adb_new!D129&amp;" "&amp;adb_new!E129&amp;" "&amp;adb_new!F129</f>
        <v xml:space="preserve">#    </v>
      </c>
    </row>
    <row r="130" spans="1:1" x14ac:dyDescent="0.25">
      <c r="A130" t="str">
        <f>adb_new!B130&amp;" "&amp;adb_new!C130&amp;" "&amp;adb_new!D130&amp;" "&amp;adb_new!E130&amp;" "&amp;adb_new!F130</f>
        <v xml:space="preserve">*    </v>
      </c>
    </row>
    <row r="131" spans="1:1" x14ac:dyDescent="0.25">
      <c r="A131" t="str">
        <f ca="1">adb_new!B131&amp;" "&amp;adb_new!C131&amp;" "&amp;adb_new!D131&amp;" "&amp;adb_new!E131&amp;" "&amp;adb_new!F131</f>
        <v xml:space="preserve">ELNCOMVGGAwGBw i   </v>
      </c>
    </row>
    <row r="132" spans="1:1" x14ac:dyDescent="0.25">
      <c r="A132" t="str">
        <f ca="1">adb_new!B132&amp;" "&amp;adb_new!C132&amp;" "&amp;adb_new!D132&amp;" "&amp;adb_new!E132&amp;" "&amp;adb_new!F132</f>
        <v xml:space="preserve"> minp e-C-GAw 1 </v>
      </c>
    </row>
    <row r="133" spans="1:1" x14ac:dyDescent="0.25">
      <c r="A133" t="str">
        <f ca="1">adb_new!B133&amp;" "&amp;adb_new!C133&amp;" "&amp;adb_new!D133&amp;" "&amp;adb_new!E133&amp;" "&amp;adb_new!F133</f>
        <v xml:space="preserve"> moutp e-F-GBw c 0.971</v>
      </c>
    </row>
    <row r="134" spans="1:1" x14ac:dyDescent="0.25">
      <c r="A134" t="str">
        <f ca="1">adb_new!B134&amp;" "&amp;adb_new!C134&amp;" "&amp;adb_new!D134&amp;" "&amp;adb_new!E134&amp;" "&amp;adb_new!F134</f>
        <v xml:space="preserve"> pll c 50 </v>
      </c>
    </row>
    <row r="135" spans="1:1" x14ac:dyDescent="0.25">
      <c r="A135" t="str">
        <f ca="1">adb_new!B135&amp;" "&amp;adb_new!C135&amp;" "&amp;adb_new!D135&amp;" "&amp;adb_new!E135&amp;" "&amp;adb_new!F135</f>
        <v xml:space="preserve"> inv c 275.3 </v>
      </c>
    </row>
    <row r="136" spans="1:1" x14ac:dyDescent="0.25">
      <c r="A136" t="str">
        <f ca="1">adb_new!B136&amp;" "&amp;adb_new!C136&amp;" "&amp;adb_new!D136&amp;" "&amp;adb_new!E136&amp;" "&amp;adb_new!F136</f>
        <v xml:space="preserve"> optm c 0.9954 </v>
      </c>
    </row>
    <row r="137" spans="1:1" x14ac:dyDescent="0.25">
      <c r="A137" t="str">
        <f ca="1">adb_new!B137&amp;" "&amp;adb_new!C137&amp;" "&amp;adb_new!D137&amp;" "&amp;adb_new!E137&amp;" "&amp;adb_new!F137</f>
        <v xml:space="preserve"> bdc fx ts 0 0 0 0 0 0 0 329 0 0 0 0</v>
      </c>
    </row>
    <row r="138" spans="1:1" x14ac:dyDescent="0.25">
      <c r="A138" t="str">
        <f>adb_new!B138&amp;" "&amp;adb_new!C138&amp;" "&amp;adb_new!D138&amp;" "&amp;adb_new!E138&amp;" "&amp;adb_new!F138</f>
        <v xml:space="preserve">#    </v>
      </c>
    </row>
    <row r="139" spans="1:1" x14ac:dyDescent="0.25">
      <c r="A139" t="str">
        <f>adb_new!B139&amp;" "&amp;adb_new!C139&amp;" "&amp;adb_new!D139&amp;" "&amp;adb_new!E139&amp;" "&amp;adb_new!F139</f>
        <v xml:space="preserve">*    </v>
      </c>
    </row>
    <row r="140" spans="1:1" x14ac:dyDescent="0.25">
      <c r="A140" t="str">
        <f ca="1">adb_new!B140&amp;" "&amp;adb_new!C140&amp;" "&amp;adb_new!D140&amp;" "&amp;adb_new!E140&amp;" "&amp;adb_new!F140</f>
        <v xml:space="preserve">ELNCOMVGGBwGUw l   </v>
      </c>
    </row>
    <row r="141" spans="1:1" x14ac:dyDescent="0.25">
      <c r="A141" t="str">
        <f ca="1">adb_new!B141&amp;" "&amp;adb_new!C141&amp;" "&amp;adb_new!D141&amp;" "&amp;adb_new!E141&amp;" "&amp;adb_new!F141</f>
        <v xml:space="preserve"> minp e-F-GBw 1 </v>
      </c>
    </row>
    <row r="142" spans="1:1" x14ac:dyDescent="0.25">
      <c r="A142" t="str">
        <f ca="1">adb_new!B142&amp;" "&amp;adb_new!C142&amp;" "&amp;adb_new!D142&amp;" "&amp;adb_new!E142&amp;" "&amp;adb_new!F142</f>
        <v xml:space="preserve"> moutp e-E-GUw c 0.941</v>
      </c>
    </row>
    <row r="143" spans="1:1" x14ac:dyDescent="0.25">
      <c r="A143" t="str">
        <f ca="1">adb_new!B143&amp;" "&amp;adb_new!C143&amp;" "&amp;adb_new!D143&amp;" "&amp;adb_new!E143&amp;" "&amp;adb_new!F143</f>
        <v xml:space="preserve"> pll c 50 </v>
      </c>
    </row>
    <row r="144" spans="1:1" x14ac:dyDescent="0.25">
      <c r="A144" t="str">
        <f ca="1">adb_new!B144&amp;" "&amp;adb_new!C144&amp;" "&amp;adb_new!D144&amp;" "&amp;adb_new!E144&amp;" "&amp;adb_new!F144</f>
        <v xml:space="preserve"> inv c 585 </v>
      </c>
    </row>
    <row r="145" spans="1:1" x14ac:dyDescent="0.25">
      <c r="A145" t="str">
        <f ca="1">adb_new!B145&amp;" "&amp;adb_new!C145&amp;" "&amp;adb_new!D145&amp;" "&amp;adb_new!E145&amp;" "&amp;adb_new!F145</f>
        <v xml:space="preserve"> optm c 0.9909 </v>
      </c>
    </row>
    <row r="146" spans="1:1" x14ac:dyDescent="0.25">
      <c r="A146" t="str">
        <f ca="1">adb_new!B146&amp;" "&amp;adb_new!C146&amp;" "&amp;adb_new!D146&amp;" "&amp;adb_new!E146&amp;" "&amp;adb_new!F146</f>
        <v xml:space="preserve"> bdc fx ts 0 0 0 0 0 0 0 310 0 0 0 0</v>
      </c>
    </row>
    <row r="147" spans="1:1" x14ac:dyDescent="0.25">
      <c r="A147" t="str">
        <f>adb_new!B147&amp;" "&amp;adb_new!C147&amp;" "&amp;adb_new!D147&amp;" "&amp;adb_new!E147&amp;" "&amp;adb_new!F147</f>
        <v xml:space="preserve">#    </v>
      </c>
    </row>
    <row r="148" spans="1:1" x14ac:dyDescent="0.25">
      <c r="A148" t="str">
        <f>adb_new!B148&amp;" "&amp;adb_new!C148&amp;" "&amp;adb_new!D148&amp;" "&amp;adb_new!E148&amp;" "&amp;adb_new!F148</f>
        <v xml:space="preserve">*    </v>
      </c>
    </row>
    <row r="149" spans="1:1" x14ac:dyDescent="0.25">
      <c r="A149" t="str">
        <f ca="1">adb_new!B149&amp;" "&amp;adb_new!C149&amp;" "&amp;adb_new!D149&amp;" "&amp;adb_new!E149&amp;" "&amp;adb_new!F149</f>
        <v xml:space="preserve">ELNCOMVGGUwSEw i   </v>
      </c>
    </row>
    <row r="150" spans="1:1" x14ac:dyDescent="0.25">
      <c r="A150" t="str">
        <f ca="1">adb_new!B150&amp;" "&amp;adb_new!C150&amp;" "&amp;adb_new!D150&amp;" "&amp;adb_new!E150&amp;" "&amp;adb_new!F150</f>
        <v xml:space="preserve"> minp e-E-GUw 1 </v>
      </c>
    </row>
    <row r="151" spans="1:1" x14ac:dyDescent="0.25">
      <c r="A151" t="str">
        <f ca="1">adb_new!B151&amp;" "&amp;adb_new!C151&amp;" "&amp;adb_new!D151&amp;" "&amp;adb_new!E151&amp;" "&amp;adb_new!F151</f>
        <v xml:space="preserve"> moutp e-K-SEw c 0.906</v>
      </c>
    </row>
    <row r="152" spans="1:1" x14ac:dyDescent="0.25">
      <c r="A152" t="str">
        <f ca="1">adb_new!B152&amp;" "&amp;adb_new!C152&amp;" "&amp;adb_new!D152&amp;" "&amp;adb_new!E152&amp;" "&amp;adb_new!F152</f>
        <v xml:space="preserve"> pll c 50 </v>
      </c>
    </row>
    <row r="153" spans="1:1" x14ac:dyDescent="0.25">
      <c r="A153" t="str">
        <f ca="1">adb_new!B153&amp;" "&amp;adb_new!C153&amp;" "&amp;adb_new!D153&amp;" "&amp;adb_new!E153&amp;" "&amp;adb_new!F153</f>
        <v xml:space="preserve"> inv c 0 </v>
      </c>
    </row>
    <row r="154" spans="1:1" x14ac:dyDescent="0.25">
      <c r="A154" t="str">
        <f ca="1">adb_new!B154&amp;" "&amp;adb_new!C154&amp;" "&amp;adb_new!D154&amp;" "&amp;adb_new!E154&amp;" "&amp;adb_new!F154</f>
        <v xml:space="preserve"> optm c 0.9854 </v>
      </c>
    </row>
    <row r="155" spans="1:1" x14ac:dyDescent="0.25">
      <c r="A155" t="str">
        <f ca="1">adb_new!B155&amp;" "&amp;adb_new!C155&amp;" "&amp;adb_new!D155&amp;" "&amp;adb_new!E155&amp;" "&amp;adb_new!F155</f>
        <v xml:space="preserve"> bdc fx ts 0 0 0 0 0 0 0 286 0 0 0 0</v>
      </c>
    </row>
    <row r="156" spans="1:1" x14ac:dyDescent="0.25">
      <c r="A156" t="str">
        <f>adb_new!B156&amp;" "&amp;adb_new!C156&amp;" "&amp;adb_new!D156&amp;" "&amp;adb_new!E156&amp;" "&amp;adb_new!F156</f>
        <v xml:space="preserve">#    </v>
      </c>
    </row>
    <row r="157" spans="1:1" x14ac:dyDescent="0.25">
      <c r="A157" t="str">
        <f>adb_new!B157&amp;" "&amp;adb_new!C157&amp;" "&amp;adb_new!D157&amp;" "&amp;adb_new!E157&amp;" "&amp;adb_new!F157</f>
        <v xml:space="preserve">*    </v>
      </c>
    </row>
    <row r="158" spans="1:1" x14ac:dyDescent="0.25">
      <c r="A158" t="str">
        <f ca="1">adb_new!B158&amp;" "&amp;adb_new!C158&amp;" "&amp;adb_new!D158&amp;" "&amp;adb_new!E158&amp;" "&amp;adb_new!F158</f>
        <v xml:space="preserve">ELNCOMVGGAwSEw j   </v>
      </c>
    </row>
    <row r="159" spans="1:1" x14ac:dyDescent="0.25">
      <c r="A159" t="str">
        <f ca="1">adb_new!B159&amp;" "&amp;adb_new!C159&amp;" "&amp;adb_new!D159&amp;" "&amp;adb_new!E159&amp;" "&amp;adb_new!F159</f>
        <v xml:space="preserve"> minp e-C-GAw 1 </v>
      </c>
    </row>
    <row r="160" spans="1:1" x14ac:dyDescent="0.25">
      <c r="A160" t="str">
        <f ca="1">adb_new!B160&amp;" "&amp;adb_new!C160&amp;" "&amp;adb_new!D160&amp;" "&amp;adb_new!E160&amp;" "&amp;adb_new!F160</f>
        <v xml:space="preserve"> moutp e-K-SEw c 0.975</v>
      </c>
    </row>
    <row r="161" spans="1:1" x14ac:dyDescent="0.25">
      <c r="A161" t="str">
        <f ca="1">adb_new!B161&amp;" "&amp;adb_new!C161&amp;" "&amp;adb_new!D161&amp;" "&amp;adb_new!E161&amp;" "&amp;adb_new!F161</f>
        <v xml:space="preserve"> pll c 50 </v>
      </c>
    </row>
    <row r="162" spans="1:1" x14ac:dyDescent="0.25">
      <c r="A162" t="str">
        <f ca="1">adb_new!B162&amp;" "&amp;adb_new!C162&amp;" "&amp;adb_new!D162&amp;" "&amp;adb_new!E162&amp;" "&amp;adb_new!F162</f>
        <v xml:space="preserve"> inv c 0 </v>
      </c>
    </row>
    <row r="163" spans="1:1" x14ac:dyDescent="0.25">
      <c r="A163" t="str">
        <f ca="1">adb_new!B163&amp;" "&amp;adb_new!C163&amp;" "&amp;adb_new!D163&amp;" "&amp;adb_new!E163&amp;" "&amp;adb_new!F163</f>
        <v xml:space="preserve"> optm c 0.9982 </v>
      </c>
    </row>
    <row r="164" spans="1:1" x14ac:dyDescent="0.25">
      <c r="A164" t="str">
        <f ca="1">adb_new!B164&amp;" "&amp;adb_new!C164&amp;" "&amp;adb_new!D164&amp;" "&amp;adb_new!E164&amp;" "&amp;adb_new!F164</f>
        <v xml:space="preserve"> bdc fx ts 0 0 0 0 0 0 0 341 0 0 0 0</v>
      </c>
    </row>
    <row r="165" spans="1:1" x14ac:dyDescent="0.25">
      <c r="A165" t="str">
        <f>adb_new!B165&amp;" "&amp;adb_new!C165&amp;" "&amp;adb_new!D165&amp;" "&amp;adb_new!E165&amp;" "&amp;adb_new!F165</f>
        <v xml:space="preserve">#    </v>
      </c>
    </row>
    <row r="166" spans="1:1" x14ac:dyDescent="0.25">
      <c r="A166" t="str">
        <f>adb_new!B166&amp;" "&amp;adb_new!C166&amp;" "&amp;adb_new!D166&amp;" "&amp;adb_new!E166&amp;" "&amp;adb_new!F166</f>
        <v xml:space="preserve">*    </v>
      </c>
    </row>
    <row r="167" spans="1:1" x14ac:dyDescent="0.25">
      <c r="A167" t="str">
        <f ca="1">adb_new!B167&amp;" "&amp;adb_new!C167&amp;" "&amp;adb_new!D167&amp;" "&amp;adb_new!E167&amp;" "&amp;adb_new!F167</f>
        <v xml:space="preserve">ELNCOMVGGBwGAw j   </v>
      </c>
    </row>
    <row r="168" spans="1:1" x14ac:dyDescent="0.25">
      <c r="A168" t="str">
        <f ca="1">adb_new!B168&amp;" "&amp;adb_new!C168&amp;" "&amp;adb_new!D168&amp;" "&amp;adb_new!E168&amp;" "&amp;adb_new!F168</f>
        <v xml:space="preserve"> minp e-F-GBw 1 </v>
      </c>
    </row>
    <row r="169" spans="1:1" x14ac:dyDescent="0.25">
      <c r="A169" t="str">
        <f ca="1">adb_new!B169&amp;" "&amp;adb_new!C169&amp;" "&amp;adb_new!D169&amp;" "&amp;adb_new!E169&amp;" "&amp;adb_new!F169</f>
        <v xml:space="preserve"> moutp e-C-GAw c 0.971</v>
      </c>
    </row>
    <row r="170" spans="1:1" x14ac:dyDescent="0.25">
      <c r="A170" t="str">
        <f ca="1">adb_new!B170&amp;" "&amp;adb_new!C170&amp;" "&amp;adb_new!D170&amp;" "&amp;adb_new!E170&amp;" "&amp;adb_new!F170</f>
        <v xml:space="preserve"> pll c 50 </v>
      </c>
    </row>
    <row r="171" spans="1:1" x14ac:dyDescent="0.25">
      <c r="A171" t="str">
        <f ca="1">adb_new!B171&amp;" "&amp;adb_new!C171&amp;" "&amp;adb_new!D171&amp;" "&amp;adb_new!E171&amp;" "&amp;adb_new!F171</f>
        <v xml:space="preserve"> inv c 0 </v>
      </c>
    </row>
    <row r="172" spans="1:1" x14ac:dyDescent="0.25">
      <c r="A172" t="str">
        <f ca="1">adb_new!B172&amp;" "&amp;adb_new!C172&amp;" "&amp;adb_new!D172&amp;" "&amp;adb_new!E172&amp;" "&amp;adb_new!F172</f>
        <v xml:space="preserve"> optm c 0.9954 </v>
      </c>
    </row>
    <row r="173" spans="1:1" x14ac:dyDescent="0.25">
      <c r="A173" t="str">
        <f ca="1">adb_new!B173&amp;" "&amp;adb_new!C173&amp;" "&amp;adb_new!D173&amp;" "&amp;adb_new!E173&amp;" "&amp;adb_new!F173</f>
        <v xml:space="preserve"> bdc fx ts 0 0 0 0 0 0 0 329 0 0 0 0</v>
      </c>
    </row>
    <row r="174" spans="1:1" x14ac:dyDescent="0.25">
      <c r="A174" t="str">
        <f>adb_new!B174&amp;" "&amp;adb_new!C174&amp;" "&amp;adb_new!D174&amp;" "&amp;adb_new!E174&amp;" "&amp;adb_new!F174</f>
        <v xml:space="preserve">#    </v>
      </c>
    </row>
    <row r="175" spans="1:1" x14ac:dyDescent="0.25">
      <c r="A175" t="str">
        <f>adb_new!B175&amp;" "&amp;adb_new!C175&amp;" "&amp;adb_new!D175&amp;" "&amp;adb_new!E175&amp;" "&amp;adb_new!F175</f>
        <v xml:space="preserve">*    </v>
      </c>
    </row>
    <row r="176" spans="1:1" x14ac:dyDescent="0.25">
      <c r="A176" t="str">
        <f ca="1">adb_new!B176&amp;" "&amp;adb_new!C176&amp;" "&amp;adb_new!D176&amp;" "&amp;adb_new!E176&amp;" "&amp;adb_new!F176</f>
        <v xml:space="preserve">ELNCOMVGGUwGBw j   </v>
      </c>
    </row>
    <row r="177" spans="1:1" x14ac:dyDescent="0.25">
      <c r="A177" t="str">
        <f ca="1">adb_new!B177&amp;" "&amp;adb_new!C177&amp;" "&amp;adb_new!D177&amp;" "&amp;adb_new!E177&amp;" "&amp;adb_new!F177</f>
        <v xml:space="preserve"> minp e-E-GUw 1 </v>
      </c>
    </row>
    <row r="178" spans="1:1" x14ac:dyDescent="0.25">
      <c r="A178" t="str">
        <f ca="1">adb_new!B178&amp;" "&amp;adb_new!C178&amp;" "&amp;adb_new!D178&amp;" "&amp;adb_new!E178&amp;" "&amp;adb_new!F178</f>
        <v xml:space="preserve"> moutp e-F-GBw c 0.941</v>
      </c>
    </row>
    <row r="179" spans="1:1" x14ac:dyDescent="0.25">
      <c r="A179" t="str">
        <f ca="1">adb_new!B179&amp;" "&amp;adb_new!C179&amp;" "&amp;adb_new!D179&amp;" "&amp;adb_new!E179&amp;" "&amp;adb_new!F179</f>
        <v xml:space="preserve"> pll c 50 </v>
      </c>
    </row>
    <row r="180" spans="1:1" x14ac:dyDescent="0.25">
      <c r="A180" t="str">
        <f ca="1">adb_new!B180&amp;" "&amp;adb_new!C180&amp;" "&amp;adb_new!D180&amp;" "&amp;adb_new!E180&amp;" "&amp;adb_new!F180</f>
        <v xml:space="preserve"> inv c 0 </v>
      </c>
    </row>
    <row r="181" spans="1:1" x14ac:dyDescent="0.25">
      <c r="A181" t="str">
        <f ca="1">adb_new!B181&amp;" "&amp;adb_new!C181&amp;" "&amp;adb_new!D181&amp;" "&amp;adb_new!E181&amp;" "&amp;adb_new!F181</f>
        <v xml:space="preserve"> optm c 0.9909 </v>
      </c>
    </row>
    <row r="182" spans="1:1" x14ac:dyDescent="0.25">
      <c r="A182" t="str">
        <f ca="1">adb_new!B182&amp;" "&amp;adb_new!C182&amp;" "&amp;adb_new!D182&amp;" "&amp;adb_new!E182&amp;" "&amp;adb_new!F182</f>
        <v xml:space="preserve"> bdc fx ts 0 0 0 0 0 0 0 310 0 0 0 0</v>
      </c>
    </row>
    <row r="183" spans="1:1" x14ac:dyDescent="0.25">
      <c r="A183" t="str">
        <f>adb_new!B183&amp;" "&amp;adb_new!C183&amp;" "&amp;adb_new!D183&amp;" "&amp;adb_new!E183&amp;" "&amp;adb_new!F183</f>
        <v xml:space="preserve">#    </v>
      </c>
    </row>
    <row r="184" spans="1:1" x14ac:dyDescent="0.25">
      <c r="A184" t="str">
        <f>adb_new!B184&amp;" "&amp;adb_new!C184&amp;" "&amp;adb_new!D184&amp;" "&amp;adb_new!E184&amp;" "&amp;adb_new!F184</f>
        <v xml:space="preserve">    </v>
      </c>
    </row>
    <row r="185" spans="1:1" x14ac:dyDescent="0.25">
      <c r="A185" t="str">
        <f>adb_new!B185&amp;" "&amp;adb_new!C185&amp;" "&amp;adb_new!D185&amp;" "&amp;adb_new!E185&amp;" "&amp;adb_new!F185</f>
        <v xml:space="preserve">*    </v>
      </c>
    </row>
    <row r="186" spans="1:1" x14ac:dyDescent="0.25">
      <c r="A186" t="str">
        <f ca="1">adb_new!B186&amp;" "&amp;adb_new!C186&amp;" "&amp;adb_new!D186&amp;" "&amp;adb_new!E186&amp;" "&amp;adb_new!F186</f>
        <v xml:space="preserve">ELNChubGHwBUw j   </v>
      </c>
    </row>
    <row r="187" spans="1:1" x14ac:dyDescent="0.25">
      <c r="A187" t="str">
        <f ca="1">adb_new!B187&amp;" "&amp;adb_new!C187&amp;" "&amp;adb_new!D187&amp;" "&amp;adb_new!E187&amp;" "&amp;adb_new!F187</f>
        <v xml:space="preserve"> minp e-D-GHw 1 </v>
      </c>
    </row>
    <row r="188" spans="1:1" x14ac:dyDescent="0.25">
      <c r="A188" t="str">
        <f ca="1">adb_new!B188&amp;" "&amp;adb_new!C188&amp;" "&amp;adb_new!D188&amp;" "&amp;adb_new!E188&amp;" "&amp;adb_new!F188</f>
        <v xml:space="preserve"> moutp e-A-BUw c 0.975</v>
      </c>
    </row>
    <row r="189" spans="1:1" x14ac:dyDescent="0.25">
      <c r="A189" t="str">
        <f ca="1">adb_new!B189&amp;" "&amp;adb_new!C189&amp;" "&amp;adb_new!D189&amp;" "&amp;adb_new!E189&amp;" "&amp;adb_new!F189</f>
        <v xml:space="preserve"> pll c 50 </v>
      </c>
    </row>
    <row r="190" spans="1:1" x14ac:dyDescent="0.25">
      <c r="A190" t="str">
        <f ca="1">adb_new!B190&amp;" "&amp;adb_new!C190&amp;" "&amp;adb_new!D190&amp;" "&amp;adb_new!E190&amp;" "&amp;adb_new!F190</f>
        <v xml:space="preserve"> inv c 201.7 </v>
      </c>
    </row>
    <row r="191" spans="1:1" x14ac:dyDescent="0.25">
      <c r="A191" t="str">
        <f ca="1">adb_new!B191&amp;" "&amp;adb_new!C191&amp;" "&amp;adb_new!D191&amp;" "&amp;adb_new!E191&amp;" "&amp;adb_new!F191</f>
        <v xml:space="preserve"> optm c 0.9962 </v>
      </c>
    </row>
    <row r="192" spans="1:1" x14ac:dyDescent="0.25">
      <c r="A192" t="str">
        <f ca="1">adb_new!B192&amp;" "&amp;adb_new!C192&amp;" "&amp;adb_new!D192&amp;" "&amp;adb_new!E192&amp;" "&amp;adb_new!F192</f>
        <v xml:space="preserve"> bdc fx ts 0 0 0 332 0 332 0 0 0 0 0 0</v>
      </c>
    </row>
    <row r="193" spans="1:1" x14ac:dyDescent="0.25">
      <c r="A193" t="str">
        <f>adb_new!B193&amp;" "&amp;adb_new!C193&amp;" "&amp;adb_new!D193&amp;" "&amp;adb_new!E193&amp;" "&amp;adb_new!F193</f>
        <v xml:space="preserve">#    </v>
      </c>
    </row>
    <row r="194" spans="1:1" x14ac:dyDescent="0.25">
      <c r="A194" t="str">
        <f>adb_new!B194&amp;" "&amp;adb_new!C194&amp;" "&amp;adb_new!D194&amp;" "&amp;adb_new!E194&amp;" "&amp;adb_new!F194</f>
        <v xml:space="preserve">*    </v>
      </c>
    </row>
    <row r="195" spans="1:1" x14ac:dyDescent="0.25">
      <c r="A195" t="str">
        <f ca="1">adb_new!B195&amp;" "&amp;adb_new!C195&amp;" "&amp;adb_new!D195&amp;" "&amp;adb_new!E195&amp;" "&amp;adb_new!F195</f>
        <v xml:space="preserve">ELNChubBUwMAw j   </v>
      </c>
    </row>
    <row r="196" spans="1:1" x14ac:dyDescent="0.25">
      <c r="A196" t="str">
        <f ca="1">adb_new!B196&amp;" "&amp;adb_new!C196&amp;" "&amp;adb_new!D196&amp;" "&amp;adb_new!E196&amp;" "&amp;adb_new!F196</f>
        <v xml:space="preserve"> minp e-A-BUw 1 </v>
      </c>
    </row>
    <row r="197" spans="1:1" x14ac:dyDescent="0.25">
      <c r="A197" t="str">
        <f ca="1">adb_new!B197&amp;" "&amp;adb_new!C197&amp;" "&amp;adb_new!D197&amp;" "&amp;adb_new!E197&amp;" "&amp;adb_new!F197</f>
        <v xml:space="preserve"> moutp e-H-MAw c 0.936</v>
      </c>
    </row>
    <row r="198" spans="1:1" x14ac:dyDescent="0.25">
      <c r="A198" t="str">
        <f ca="1">adb_new!B198&amp;" "&amp;adb_new!C198&amp;" "&amp;adb_new!D198&amp;" "&amp;adb_new!E198&amp;" "&amp;adb_new!F198</f>
        <v xml:space="preserve"> pll c 50 </v>
      </c>
    </row>
    <row r="199" spans="1:1" x14ac:dyDescent="0.25">
      <c r="A199" t="str">
        <f ca="1">adb_new!B199&amp;" "&amp;adb_new!C199&amp;" "&amp;adb_new!D199&amp;" "&amp;adb_new!E199&amp;" "&amp;adb_new!F199</f>
        <v xml:space="preserve"> inv c 573.9 </v>
      </c>
    </row>
    <row r="200" spans="1:1" x14ac:dyDescent="0.25">
      <c r="A200" t="str">
        <f ca="1">adb_new!B200&amp;" "&amp;adb_new!C200&amp;" "&amp;adb_new!D200&amp;" "&amp;adb_new!E200&amp;" "&amp;adb_new!F200</f>
        <v xml:space="preserve"> optm c 0.99 </v>
      </c>
    </row>
    <row r="201" spans="1:1" x14ac:dyDescent="0.25">
      <c r="A201" t="str">
        <f ca="1">adb_new!B201&amp;" "&amp;adb_new!C201&amp;" "&amp;adb_new!D201&amp;" "&amp;adb_new!E201&amp;" "&amp;adb_new!F201</f>
        <v xml:space="preserve"> bdc fx ts 0 0 0 0 0 306 0 0 0 0 0 0</v>
      </c>
    </row>
    <row r="202" spans="1:1" x14ac:dyDescent="0.25">
      <c r="A202" t="str">
        <f>adb_new!B202&amp;" "&amp;adb_new!C202&amp;" "&amp;adb_new!D202&amp;" "&amp;adb_new!E202&amp;" "&amp;adb_new!F202</f>
        <v xml:space="preserve">#    </v>
      </c>
    </row>
    <row r="203" spans="1:1" x14ac:dyDescent="0.25">
      <c r="A203" t="str">
        <f>adb_new!B203&amp;" "&amp;adb_new!C203&amp;" "&amp;adb_new!D203&amp;" "&amp;adb_new!E203&amp;" "&amp;adb_new!F203</f>
        <v xml:space="preserve">*    </v>
      </c>
    </row>
    <row r="204" spans="1:1" x14ac:dyDescent="0.25">
      <c r="A204" t="str">
        <f ca="1">adb_new!B204&amp;" "&amp;adb_new!C204&amp;" "&amp;adb_new!D204&amp;" "&amp;adb_new!E204&amp;" "&amp;adb_new!F204</f>
        <v xml:space="preserve">ELNChubMAwCIw k   </v>
      </c>
    </row>
    <row r="205" spans="1:1" x14ac:dyDescent="0.25">
      <c r="A205" t="str">
        <f ca="1">adb_new!B205&amp;" "&amp;adb_new!C205&amp;" "&amp;adb_new!D205&amp;" "&amp;adb_new!E205&amp;" "&amp;adb_new!F205</f>
        <v xml:space="preserve"> minp e-H-MAw 1 </v>
      </c>
    </row>
    <row r="206" spans="1:1" x14ac:dyDescent="0.25">
      <c r="A206" t="str">
        <f ca="1">adb_new!B206&amp;" "&amp;adb_new!C206&amp;" "&amp;adb_new!D206&amp;" "&amp;adb_new!E206&amp;" "&amp;adb_new!F206</f>
        <v xml:space="preserve"> moutp e-B-CIw c 0.957</v>
      </c>
    </row>
    <row r="207" spans="1:1" x14ac:dyDescent="0.25">
      <c r="A207" t="str">
        <f ca="1">adb_new!B207&amp;" "&amp;adb_new!C207&amp;" "&amp;adb_new!D207&amp;" "&amp;adb_new!E207&amp;" "&amp;adb_new!F207</f>
        <v xml:space="preserve"> pll c 50 </v>
      </c>
    </row>
    <row r="208" spans="1:1" x14ac:dyDescent="0.25">
      <c r="A208" t="str">
        <f ca="1">adb_new!B208&amp;" "&amp;adb_new!C208&amp;" "&amp;adb_new!D208&amp;" "&amp;adb_new!E208&amp;" "&amp;adb_new!F208</f>
        <v xml:space="preserve"> inv c 428.3 </v>
      </c>
    </row>
    <row r="209" spans="1:1" x14ac:dyDescent="0.25">
      <c r="A209" t="str">
        <f ca="1">adb_new!B209&amp;" "&amp;adb_new!C209&amp;" "&amp;adb_new!D209&amp;" "&amp;adb_new!E209&amp;" "&amp;adb_new!F209</f>
        <v xml:space="preserve"> optm c 0.9932 </v>
      </c>
    </row>
    <row r="210" spans="1:1" x14ac:dyDescent="0.25">
      <c r="A210" t="str">
        <f ca="1">adb_new!B210&amp;" "&amp;adb_new!C210&amp;" "&amp;adb_new!D210&amp;" "&amp;adb_new!E210&amp;" "&amp;adb_new!F210</f>
        <v xml:space="preserve"> bdc fx ts 0 0 320 0 0 0 0 0 0 0 0 0</v>
      </c>
    </row>
    <row r="211" spans="1:1" x14ac:dyDescent="0.25">
      <c r="A211" t="str">
        <f>adb_new!B211&amp;" "&amp;adb_new!C211&amp;" "&amp;adb_new!D211&amp;" "&amp;adb_new!E211&amp;" "&amp;adb_new!F211</f>
        <v xml:space="preserve">#    </v>
      </c>
    </row>
    <row r="212" spans="1:1" x14ac:dyDescent="0.25">
      <c r="A212" t="str">
        <f>adb_new!B212&amp;" "&amp;adb_new!C212&amp;" "&amp;adb_new!D212&amp;" "&amp;adb_new!E212&amp;" "&amp;adb_new!F212</f>
        <v xml:space="preserve">*    </v>
      </c>
    </row>
    <row r="213" spans="1:1" x14ac:dyDescent="0.25">
      <c r="A213" t="str">
        <f ca="1">adb_new!B213&amp;" "&amp;adb_new!C213&amp;" "&amp;adb_new!D213&amp;" "&amp;adb_new!E213&amp;" "&amp;adb_new!F213</f>
        <v xml:space="preserve">ELNChubBUwGHw k   </v>
      </c>
    </row>
    <row r="214" spans="1:1" x14ac:dyDescent="0.25">
      <c r="A214" t="str">
        <f ca="1">adb_new!B214&amp;" "&amp;adb_new!C214&amp;" "&amp;adb_new!D214&amp;" "&amp;adb_new!E214&amp;" "&amp;adb_new!F214</f>
        <v xml:space="preserve"> minp e-A-BUw 1 </v>
      </c>
    </row>
    <row r="215" spans="1:1" x14ac:dyDescent="0.25">
      <c r="A215" t="str">
        <f ca="1">adb_new!B215&amp;" "&amp;adb_new!C215&amp;" "&amp;adb_new!D215&amp;" "&amp;adb_new!E215&amp;" "&amp;adb_new!F215</f>
        <v xml:space="preserve"> moutp e-D-GHw c 0.975</v>
      </c>
    </row>
    <row r="216" spans="1:1" x14ac:dyDescent="0.25">
      <c r="A216" t="str">
        <f ca="1">adb_new!B216&amp;" "&amp;adb_new!C216&amp;" "&amp;adb_new!D216&amp;" "&amp;adb_new!E216&amp;" "&amp;adb_new!F216</f>
        <v xml:space="preserve"> pll c 50 </v>
      </c>
    </row>
    <row r="217" spans="1:1" x14ac:dyDescent="0.25">
      <c r="A217" t="str">
        <f ca="1">adb_new!B217&amp;" "&amp;adb_new!C217&amp;" "&amp;adb_new!D217&amp;" "&amp;adb_new!E217&amp;" "&amp;adb_new!F217</f>
        <v xml:space="preserve"> inv c 0 </v>
      </c>
    </row>
    <row r="218" spans="1:1" x14ac:dyDescent="0.25">
      <c r="A218" t="str">
        <f ca="1">adb_new!B218&amp;" "&amp;adb_new!C218&amp;" "&amp;adb_new!D218&amp;" "&amp;adb_new!E218&amp;" "&amp;adb_new!F218</f>
        <v xml:space="preserve"> optm c 0.9962 </v>
      </c>
    </row>
    <row r="219" spans="1:1" x14ac:dyDescent="0.25">
      <c r="A219" t="str">
        <f ca="1">adb_new!B219&amp;" "&amp;adb_new!C219&amp;" "&amp;adb_new!D219&amp;" "&amp;adb_new!E219&amp;" "&amp;adb_new!F219</f>
        <v xml:space="preserve"> bdc fx ts 0 0 0 332 0 332 0 0 0 0 0 0</v>
      </c>
    </row>
    <row r="220" spans="1:1" x14ac:dyDescent="0.25">
      <c r="A220" t="str">
        <f>adb_new!B220&amp;" "&amp;adb_new!C220&amp;" "&amp;adb_new!D220&amp;" "&amp;adb_new!E220&amp;" "&amp;adb_new!F220</f>
        <v xml:space="preserve">#    </v>
      </c>
    </row>
    <row r="221" spans="1:1" x14ac:dyDescent="0.25">
      <c r="A221" t="str">
        <f>adb_new!B221&amp;" "&amp;adb_new!C221&amp;" "&amp;adb_new!D221&amp;" "&amp;adb_new!E221&amp;" "&amp;adb_new!F221</f>
        <v xml:space="preserve">*    </v>
      </c>
    </row>
    <row r="222" spans="1:1" x14ac:dyDescent="0.25">
      <c r="A222" t="str">
        <f ca="1">adb_new!B222&amp;" "&amp;adb_new!C222&amp;" "&amp;adb_new!D222&amp;" "&amp;adb_new!E222&amp;" "&amp;adb_new!F222</f>
        <v xml:space="preserve">ELNChubMAwBUw k   </v>
      </c>
    </row>
    <row r="223" spans="1:1" x14ac:dyDescent="0.25">
      <c r="A223" t="str">
        <f ca="1">adb_new!B223&amp;" "&amp;adb_new!C223&amp;" "&amp;adb_new!D223&amp;" "&amp;adb_new!E223&amp;" "&amp;adb_new!F223</f>
        <v xml:space="preserve"> minp e-H-MAw 1 </v>
      </c>
    </row>
    <row r="224" spans="1:1" x14ac:dyDescent="0.25">
      <c r="A224" t="str">
        <f ca="1">adb_new!B224&amp;" "&amp;adb_new!C224&amp;" "&amp;adb_new!D224&amp;" "&amp;adb_new!E224&amp;" "&amp;adb_new!F224</f>
        <v xml:space="preserve"> moutp e-A-BUw c 0.936</v>
      </c>
    </row>
    <row r="225" spans="1:1" x14ac:dyDescent="0.25">
      <c r="A225" t="str">
        <f ca="1">adb_new!B225&amp;" "&amp;adb_new!C225&amp;" "&amp;adb_new!D225&amp;" "&amp;adb_new!E225&amp;" "&amp;adb_new!F225</f>
        <v xml:space="preserve"> pll c 50 </v>
      </c>
    </row>
    <row r="226" spans="1:1" x14ac:dyDescent="0.25">
      <c r="A226" t="str">
        <f ca="1">adb_new!B226&amp;" "&amp;adb_new!C226&amp;" "&amp;adb_new!D226&amp;" "&amp;adb_new!E226&amp;" "&amp;adb_new!F226</f>
        <v xml:space="preserve"> inv c 0 </v>
      </c>
    </row>
    <row r="227" spans="1:1" x14ac:dyDescent="0.25">
      <c r="A227" t="str">
        <f ca="1">adb_new!B227&amp;" "&amp;adb_new!C227&amp;" "&amp;adb_new!D227&amp;" "&amp;adb_new!E227&amp;" "&amp;adb_new!F227</f>
        <v xml:space="preserve"> optm c 0.99 </v>
      </c>
    </row>
    <row r="228" spans="1:1" x14ac:dyDescent="0.25">
      <c r="A228" t="str">
        <f ca="1">adb_new!B228&amp;" "&amp;adb_new!C228&amp;" "&amp;adb_new!D228&amp;" "&amp;adb_new!E228&amp;" "&amp;adb_new!F228</f>
        <v xml:space="preserve"> bdc fx ts 0 0 0 0 0 306 0 0 0 0 0 0</v>
      </c>
    </row>
    <row r="229" spans="1:1" x14ac:dyDescent="0.25">
      <c r="A229" t="str">
        <f>adb_new!B229&amp;" "&amp;adb_new!C229&amp;" "&amp;adb_new!D229&amp;" "&amp;adb_new!E229&amp;" "&amp;adb_new!F229</f>
        <v xml:space="preserve">#    </v>
      </c>
    </row>
    <row r="230" spans="1:1" x14ac:dyDescent="0.25">
      <c r="A230" t="str">
        <f>adb_new!B230&amp;" "&amp;adb_new!C230&amp;" "&amp;adb_new!D230&amp;" "&amp;adb_new!E230&amp;" "&amp;adb_new!F230</f>
        <v xml:space="preserve">*    </v>
      </c>
    </row>
    <row r="231" spans="1:1" x14ac:dyDescent="0.25">
      <c r="A231" t="str">
        <f ca="1">adb_new!B231&amp;" "&amp;adb_new!C231&amp;" "&amp;adb_new!D231&amp;" "&amp;adb_new!E231&amp;" "&amp;adb_new!F231</f>
        <v xml:space="preserve">ELNChubCIwMAw k   </v>
      </c>
    </row>
    <row r="232" spans="1:1" x14ac:dyDescent="0.25">
      <c r="A232" t="str">
        <f ca="1">adb_new!B232&amp;" "&amp;adb_new!C232&amp;" "&amp;adb_new!D232&amp;" "&amp;adb_new!E232&amp;" "&amp;adb_new!F232</f>
        <v xml:space="preserve"> minp e-B-CIw 1 </v>
      </c>
    </row>
    <row r="233" spans="1:1" x14ac:dyDescent="0.25">
      <c r="A233" t="str">
        <f ca="1">adb_new!B233&amp;" "&amp;adb_new!C233&amp;" "&amp;adb_new!D233&amp;" "&amp;adb_new!E233&amp;" "&amp;adb_new!F233</f>
        <v xml:space="preserve"> moutp e-H-MAw c 0.957</v>
      </c>
    </row>
    <row r="234" spans="1:1" x14ac:dyDescent="0.25">
      <c r="A234" t="str">
        <f ca="1">adb_new!B234&amp;" "&amp;adb_new!C234&amp;" "&amp;adb_new!D234&amp;" "&amp;adb_new!E234&amp;" "&amp;adb_new!F234</f>
        <v xml:space="preserve"> pll c 50 </v>
      </c>
    </row>
    <row r="235" spans="1:1" x14ac:dyDescent="0.25">
      <c r="A235" t="str">
        <f ca="1">adb_new!B235&amp;" "&amp;adb_new!C235&amp;" "&amp;adb_new!D235&amp;" "&amp;adb_new!E235&amp;" "&amp;adb_new!F235</f>
        <v xml:space="preserve"> inv c 0 </v>
      </c>
    </row>
    <row r="236" spans="1:1" x14ac:dyDescent="0.25">
      <c r="A236" t="str">
        <f ca="1">adb_new!B236&amp;" "&amp;adb_new!C236&amp;" "&amp;adb_new!D236&amp;" "&amp;adb_new!E236&amp;" "&amp;adb_new!F236</f>
        <v xml:space="preserve"> optm c 0.9932 </v>
      </c>
    </row>
    <row r="237" spans="1:1" x14ac:dyDescent="0.25">
      <c r="A237" t="str">
        <f ca="1">adb_new!B237&amp;" "&amp;adb_new!C237&amp;" "&amp;adb_new!D237&amp;" "&amp;adb_new!E237&amp;" "&amp;adb_new!F237</f>
        <v xml:space="preserve"> bdc fx ts 0 0 320 0 0 0 0 0 0 0 0 0</v>
      </c>
    </row>
    <row r="238" spans="1:1" x14ac:dyDescent="0.25">
      <c r="A238" t="str">
        <f>adb_new!B238&amp;" "&amp;adb_new!C238&amp;" "&amp;adb_new!D238&amp;" "&amp;adb_new!E238&amp;" "&amp;adb_new!F238</f>
        <v xml:space="preserve">#    </v>
      </c>
    </row>
    <row r="239" spans="1:1" x14ac:dyDescent="0.25">
      <c r="A239" t="str">
        <f>adb_new!B239&amp;" "&amp;adb_new!C239&amp;" "&amp;adb_new!D239&amp;" "&amp;adb_new!E239&amp;" "&amp;adb_new!F239</f>
        <v xml:space="preserve">    </v>
      </c>
    </row>
    <row r="240" spans="1:1" x14ac:dyDescent="0.25">
      <c r="A240" t="str">
        <f>adb_new!B240&amp;" "&amp;adb_new!C240&amp;" "&amp;adb_new!D240&amp;" "&amp;adb_new!E240&amp;" "&amp;adb_new!F240</f>
        <v xml:space="preserve">*    </v>
      </c>
    </row>
    <row r="241" spans="1:1" x14ac:dyDescent="0.25">
      <c r="A241" t="str">
        <f ca="1">adb_new!B241&amp;" "&amp;adb_new!C241&amp;" "&amp;adb_new!D241&amp;" "&amp;adb_new!E241&amp;" "&amp;adb_new!F241</f>
        <v xml:space="preserve">ELNUCoNNGwNIw i   </v>
      </c>
    </row>
    <row r="242" spans="1:1" x14ac:dyDescent="0.25">
      <c r="A242" t="str">
        <f ca="1">adb_new!B242&amp;" "&amp;adb_new!C242&amp;" "&amp;adb_new!D242&amp;" "&amp;adb_new!E242&amp;" "&amp;adb_new!F242</f>
        <v xml:space="preserve"> minp e-J-NGw 1 </v>
      </c>
    </row>
    <row r="243" spans="1:1" x14ac:dyDescent="0.25">
      <c r="A243" t="str">
        <f ca="1">adb_new!B243&amp;" "&amp;adb_new!C243&amp;" "&amp;adb_new!D243&amp;" "&amp;adb_new!E243&amp;" "&amp;adb_new!F243</f>
        <v xml:space="preserve"> moutp e-I-NIw c 0.969</v>
      </c>
    </row>
    <row r="244" spans="1:1" x14ac:dyDescent="0.25">
      <c r="A244" t="str">
        <f ca="1">adb_new!B244&amp;" "&amp;adb_new!C244&amp;" "&amp;adb_new!D244&amp;" "&amp;adb_new!E244&amp;" "&amp;adb_new!F244</f>
        <v xml:space="preserve"> fyear 2016  </v>
      </c>
    </row>
    <row r="245" spans="1:1" x14ac:dyDescent="0.25">
      <c r="A245" t="str">
        <f ca="1">adb_new!B245&amp;" "&amp;adb_new!C245&amp;" "&amp;adb_new!D245&amp;" "&amp;adb_new!E245&amp;" "&amp;adb_new!F245</f>
        <v xml:space="preserve"> pll c 50 </v>
      </c>
    </row>
    <row r="246" spans="1:1" x14ac:dyDescent="0.25">
      <c r="A246" t="str">
        <f ca="1">adb_new!B246&amp;" "&amp;adb_new!C246&amp;" "&amp;adb_new!D246&amp;" "&amp;adb_new!E246&amp;" "&amp;adb_new!F246</f>
        <v xml:space="preserve"> inv c 219.1 </v>
      </c>
    </row>
    <row r="247" spans="1:1" x14ac:dyDescent="0.25">
      <c r="A247" t="str">
        <f ca="1">adb_new!B247&amp;" "&amp;adb_new!C247&amp;" "&amp;adb_new!D247&amp;" "&amp;adb_new!E247&amp;" "&amp;adb_new!F247</f>
        <v xml:space="preserve"> optm c 0.9951 </v>
      </c>
    </row>
    <row r="248" spans="1:1" x14ac:dyDescent="0.25">
      <c r="A248" t="str">
        <f ca="1">adb_new!B248&amp;" "&amp;adb_new!C248&amp;" "&amp;adb_new!D248&amp;" "&amp;adb_new!E248&amp;" "&amp;adb_new!F248</f>
        <v xml:space="preserve">    </v>
      </c>
    </row>
    <row r="249" spans="1:1" x14ac:dyDescent="0.25">
      <c r="A249" t="str">
        <f ca="1">adb_new!B249&amp;" "&amp;adb_new!C249&amp;" "&amp;adb_new!D249&amp;" "&amp;adb_new!E249&amp;" "&amp;adb_new!F249</f>
        <v xml:space="preserve"> bdi up c 653</v>
      </c>
    </row>
    <row r="250" spans="1:1" x14ac:dyDescent="0.25">
      <c r="A250" t="str">
        <f ca="1">adb_new!B250&amp;" "&amp;adb_new!C250&amp;" "&amp;adb_new!D250&amp;" "&amp;adb_new!E250&amp;" "&amp;adb_new!F250</f>
        <v xml:space="preserve"> con1c CNN1:tin c 1</v>
      </c>
    </row>
    <row r="251" spans="1:1" x14ac:dyDescent="0.25">
      <c r="A251" t="str">
        <f>adb_new!B251&amp;" "&amp;adb_new!C251&amp;" "&amp;adb_new!D251&amp;" "&amp;adb_new!E251&amp;" "&amp;adb_new!F251</f>
        <v xml:space="preserve">#    </v>
      </c>
    </row>
    <row r="252" spans="1:1" x14ac:dyDescent="0.25">
      <c r="A252" t="str">
        <f>adb_new!B252&amp;" "&amp;adb_new!C252&amp;" "&amp;adb_new!D252&amp;" "&amp;adb_new!E252&amp;" "&amp;adb_new!F252</f>
        <v xml:space="preserve">*    </v>
      </c>
    </row>
    <row r="253" spans="1:1" x14ac:dyDescent="0.25">
      <c r="A253" t="str">
        <f ca="1">adb_new!B253&amp;" "&amp;adb_new!C253&amp;" "&amp;adb_new!D253&amp;" "&amp;adb_new!E253&amp;" "&amp;adb_new!F253</f>
        <v xml:space="preserve">ELNUCoNNIwTBw j   </v>
      </c>
    </row>
    <row r="254" spans="1:1" x14ac:dyDescent="0.25">
      <c r="A254" t="str">
        <f ca="1">adb_new!B254&amp;" "&amp;adb_new!C254&amp;" "&amp;adb_new!D254&amp;" "&amp;adb_new!E254&amp;" "&amp;adb_new!F254</f>
        <v xml:space="preserve"> minp e-I-NIw 1 </v>
      </c>
    </row>
    <row r="255" spans="1:1" x14ac:dyDescent="0.25">
      <c r="A255" t="str">
        <f ca="1">adb_new!B255&amp;" "&amp;adb_new!C255&amp;" "&amp;adb_new!D255&amp;" "&amp;adb_new!E255&amp;" "&amp;adb_new!F255</f>
        <v xml:space="preserve"> moutp e-M-TBw c 0.963</v>
      </c>
    </row>
    <row r="256" spans="1:1" x14ac:dyDescent="0.25">
      <c r="A256" t="str">
        <f ca="1">adb_new!B256&amp;" "&amp;adb_new!C256&amp;" "&amp;adb_new!D256&amp;" "&amp;adb_new!E256&amp;" "&amp;adb_new!F256</f>
        <v xml:space="preserve"> fyear 2016  </v>
      </c>
    </row>
    <row r="257" spans="1:1" x14ac:dyDescent="0.25">
      <c r="A257" t="str">
        <f ca="1">adb_new!B257&amp;" "&amp;adb_new!C257&amp;" "&amp;adb_new!D257&amp;" "&amp;adb_new!E257&amp;" "&amp;adb_new!F257</f>
        <v xml:space="preserve"> pll c 50 </v>
      </c>
    </row>
    <row r="258" spans="1:1" x14ac:dyDescent="0.25">
      <c r="A258" t="str">
        <f ca="1">adb_new!B258&amp;" "&amp;adb_new!C258&amp;" "&amp;adb_new!D258&amp;" "&amp;adb_new!E258&amp;" "&amp;adb_new!F258</f>
        <v xml:space="preserve"> inv c 256.4 </v>
      </c>
    </row>
    <row r="259" spans="1:1" x14ac:dyDescent="0.25">
      <c r="A259" t="str">
        <f ca="1">adb_new!B259&amp;" "&amp;adb_new!C259&amp;" "&amp;adb_new!D259&amp;" "&amp;adb_new!E259&amp;" "&amp;adb_new!F259</f>
        <v xml:space="preserve"> optm c 0.9943 </v>
      </c>
    </row>
    <row r="260" spans="1:1" x14ac:dyDescent="0.25">
      <c r="A260" t="str">
        <f ca="1">adb_new!B260&amp;" "&amp;adb_new!C260&amp;" "&amp;adb_new!D260&amp;" "&amp;adb_new!E260&amp;" "&amp;adb_new!F260</f>
        <v xml:space="preserve">    </v>
      </c>
    </row>
    <row r="261" spans="1:1" x14ac:dyDescent="0.25">
      <c r="A261" t="str">
        <f ca="1">adb_new!B261&amp;" "&amp;adb_new!C261&amp;" "&amp;adb_new!D261&amp;" "&amp;adb_new!E261&amp;" "&amp;adb_new!F261</f>
        <v xml:space="preserve"> bdi up c 650</v>
      </c>
    </row>
    <row r="262" spans="1:1" x14ac:dyDescent="0.25">
      <c r="A262" t="str">
        <f ca="1">adb_new!B262&amp;" "&amp;adb_new!C262&amp;" "&amp;adb_new!D262&amp;" "&amp;adb_new!E262&amp;" "&amp;adb_new!F262</f>
        <v xml:space="preserve"> con1c CNT1:tin c 1</v>
      </c>
    </row>
    <row r="263" spans="1:1" x14ac:dyDescent="0.25">
      <c r="A263" t="str">
        <f>adb_new!B263&amp;" "&amp;adb_new!C263&amp;" "&amp;adb_new!D263&amp;" "&amp;adb_new!E263&amp;" "&amp;adb_new!F263</f>
        <v xml:space="preserve">#    </v>
      </c>
    </row>
    <row r="264" spans="1:1" x14ac:dyDescent="0.25">
      <c r="A264" t="str">
        <f>adb_new!B264&amp;" "&amp;adb_new!C264&amp;" "&amp;adb_new!D264&amp;" "&amp;adb_new!E264&amp;" "&amp;adb_new!F264</f>
        <v xml:space="preserve">*    </v>
      </c>
    </row>
    <row r="265" spans="1:1" x14ac:dyDescent="0.25">
      <c r="A265" t="str">
        <f ca="1">adb_new!B265&amp;" "&amp;adb_new!C265&amp;" "&amp;adb_new!D265&amp;" "&amp;adb_new!E265&amp;" "&amp;adb_new!F265</f>
        <v xml:space="preserve">ELNUCoNNIwBUw i   </v>
      </c>
    </row>
    <row r="266" spans="1:1" x14ac:dyDescent="0.25">
      <c r="A266" t="str">
        <f ca="1">adb_new!B266&amp;" "&amp;adb_new!C266&amp;" "&amp;adb_new!D266&amp;" "&amp;adb_new!E266&amp;" "&amp;adb_new!F266</f>
        <v xml:space="preserve"> minp e-I-NIw 1 </v>
      </c>
    </row>
    <row r="267" spans="1:1" x14ac:dyDescent="0.25">
      <c r="A267" t="str">
        <f ca="1">adb_new!B267&amp;" "&amp;adb_new!C267&amp;" "&amp;adb_new!D267&amp;" "&amp;adb_new!E267&amp;" "&amp;adb_new!F267</f>
        <v xml:space="preserve"> moutp e-A-BUw c 0.945</v>
      </c>
    </row>
    <row r="268" spans="1:1" x14ac:dyDescent="0.25">
      <c r="A268" t="str">
        <f ca="1">adb_new!B268&amp;" "&amp;adb_new!C268&amp;" "&amp;adb_new!D268&amp;" "&amp;adb_new!E268&amp;" "&amp;adb_new!F268</f>
        <v xml:space="preserve"> fyear 2016  </v>
      </c>
    </row>
    <row r="269" spans="1:1" x14ac:dyDescent="0.25">
      <c r="A269" t="str">
        <f ca="1">adb_new!B269&amp;" "&amp;adb_new!C269&amp;" "&amp;adb_new!D269&amp;" "&amp;adb_new!E269&amp;" "&amp;adb_new!F269</f>
        <v xml:space="preserve"> pll c 50 </v>
      </c>
    </row>
    <row r="270" spans="1:1" x14ac:dyDescent="0.25">
      <c r="A270" t="str">
        <f ca="1">adb_new!B270&amp;" "&amp;adb_new!C270&amp;" "&amp;adb_new!D270&amp;" "&amp;adb_new!E270&amp;" "&amp;adb_new!F270</f>
        <v xml:space="preserve"> inv c 392.8 </v>
      </c>
    </row>
    <row r="271" spans="1:1" x14ac:dyDescent="0.25">
      <c r="A271" t="str">
        <f ca="1">adb_new!B271&amp;" "&amp;adb_new!C271&amp;" "&amp;adb_new!D271&amp;" "&amp;adb_new!E271&amp;" "&amp;adb_new!F271</f>
        <v xml:space="preserve"> optm c 0.9914 </v>
      </c>
    </row>
    <row r="272" spans="1:1" x14ac:dyDescent="0.25">
      <c r="A272" t="str">
        <f ca="1">adb_new!B272&amp;" "&amp;adb_new!C272&amp;" "&amp;adb_new!D272&amp;" "&amp;adb_new!E272&amp;" "&amp;adb_new!F272</f>
        <v xml:space="preserve">    </v>
      </c>
    </row>
    <row r="273" spans="1:1" x14ac:dyDescent="0.25">
      <c r="A273" t="str">
        <f ca="1">adb_new!B273&amp;" "&amp;adb_new!C273&amp;" "&amp;adb_new!D273&amp;" "&amp;adb_new!E273&amp;" "&amp;adb_new!F273</f>
        <v xml:space="preserve"> bdi up c 637</v>
      </c>
    </row>
    <row r="274" spans="1:1" x14ac:dyDescent="0.25">
      <c r="A274" t="str">
        <f ca="1">adb_new!B274&amp;" "&amp;adb_new!C274&amp;" "&amp;adb_new!D274&amp;" "&amp;adb_new!E274&amp;" "&amp;adb_new!F274</f>
        <v xml:space="preserve"> con1c CNB1:tin c 1</v>
      </c>
    </row>
    <row r="275" spans="1:1" x14ac:dyDescent="0.25">
      <c r="A275" t="str">
        <f>adb_new!B275&amp;" "&amp;adb_new!C275&amp;" "&amp;adb_new!D275&amp;" "&amp;adb_new!E275&amp;" "&amp;adb_new!F275</f>
        <v xml:space="preserve">#    </v>
      </c>
    </row>
    <row r="276" spans="1:1" x14ac:dyDescent="0.25">
      <c r="A276" t="str">
        <f>adb_new!B276&amp;" "&amp;adb_new!C276&amp;" "&amp;adb_new!D276&amp;" "&amp;adb_new!E276&amp;" "&amp;adb_new!F276</f>
        <v xml:space="preserve">*    </v>
      </c>
    </row>
    <row r="277" spans="1:1" x14ac:dyDescent="0.25">
      <c r="A277" t="str">
        <f ca="1">adb_new!B277&amp;" "&amp;adb_new!C277&amp;" "&amp;adb_new!D277&amp;" "&amp;adb_new!E277&amp;" "&amp;adb_new!F277</f>
        <v xml:space="preserve">ELNUCoNNIwNGw i   </v>
      </c>
    </row>
    <row r="278" spans="1:1" x14ac:dyDescent="0.25">
      <c r="A278" t="str">
        <f ca="1">adb_new!B278&amp;" "&amp;adb_new!C278&amp;" "&amp;adb_new!D278&amp;" "&amp;adb_new!E278&amp;" "&amp;adb_new!F278</f>
        <v xml:space="preserve"> minp e-I-NIw 1 </v>
      </c>
    </row>
    <row r="279" spans="1:1" x14ac:dyDescent="0.25">
      <c r="A279" t="str">
        <f ca="1">adb_new!B279&amp;" "&amp;adb_new!C279&amp;" "&amp;adb_new!D279&amp;" "&amp;adb_new!E279&amp;" "&amp;adb_new!F279</f>
        <v xml:space="preserve"> moutp e-J-NGw c 0.969</v>
      </c>
    </row>
    <row r="280" spans="1:1" x14ac:dyDescent="0.25">
      <c r="A280" t="str">
        <f ca="1">adb_new!B280&amp;" "&amp;adb_new!C280&amp;" "&amp;adb_new!D280&amp;" "&amp;adb_new!E280&amp;" "&amp;adb_new!F280</f>
        <v xml:space="preserve"> fyear 2016  </v>
      </c>
    </row>
    <row r="281" spans="1:1" x14ac:dyDescent="0.25">
      <c r="A281" t="str">
        <f ca="1">adb_new!B281&amp;" "&amp;adb_new!C281&amp;" "&amp;adb_new!D281&amp;" "&amp;adb_new!E281&amp;" "&amp;adb_new!F281</f>
        <v xml:space="preserve"> pll c 50 </v>
      </c>
    </row>
    <row r="282" spans="1:1" x14ac:dyDescent="0.25">
      <c r="A282" t="str">
        <f ca="1">adb_new!B282&amp;" "&amp;adb_new!C282&amp;" "&amp;adb_new!D282&amp;" "&amp;adb_new!E282&amp;" "&amp;adb_new!F282</f>
        <v xml:space="preserve"> inv c 0 </v>
      </c>
    </row>
    <row r="283" spans="1:1" x14ac:dyDescent="0.25">
      <c r="A283" t="str">
        <f ca="1">adb_new!B283&amp;" "&amp;adb_new!C283&amp;" "&amp;adb_new!D283&amp;" "&amp;adb_new!E283&amp;" "&amp;adb_new!F283</f>
        <v xml:space="preserve"> optm c 0.9951 </v>
      </c>
    </row>
    <row r="284" spans="1:1" x14ac:dyDescent="0.25">
      <c r="A284" t="str">
        <f ca="1">adb_new!B284&amp;" "&amp;adb_new!C284&amp;" "&amp;adb_new!D284&amp;" "&amp;adb_new!E284&amp;" "&amp;adb_new!F284</f>
        <v xml:space="preserve">    </v>
      </c>
    </row>
    <row r="285" spans="1:1" x14ac:dyDescent="0.25">
      <c r="A285" t="str">
        <f ca="1">adb_new!B285&amp;" "&amp;adb_new!C285&amp;" "&amp;adb_new!D285&amp;" "&amp;adb_new!E285&amp;" "&amp;adb_new!F285</f>
        <v xml:space="preserve"> bdi up c 653</v>
      </c>
    </row>
    <row r="286" spans="1:1" x14ac:dyDescent="0.25">
      <c r="A286" t="str">
        <f ca="1">adb_new!B286&amp;" "&amp;adb_new!C286&amp;" "&amp;adb_new!D286&amp;" "&amp;adb_new!E286&amp;" "&amp;adb_new!F286</f>
        <v xml:space="preserve"> con1c CNN1:tin c -1</v>
      </c>
    </row>
    <row r="287" spans="1:1" x14ac:dyDescent="0.25">
      <c r="A287" t="str">
        <f>adb_new!B287&amp;" "&amp;adb_new!C287&amp;" "&amp;adb_new!D287&amp;" "&amp;adb_new!E287&amp;" "&amp;adb_new!F287</f>
        <v xml:space="preserve">#    </v>
      </c>
    </row>
    <row r="288" spans="1:1" x14ac:dyDescent="0.25">
      <c r="A288" t="str">
        <f>adb_new!B288&amp;" "&amp;adb_new!C288&amp;" "&amp;adb_new!D288&amp;" "&amp;adb_new!E288&amp;" "&amp;adb_new!F288</f>
        <v xml:space="preserve">*    </v>
      </c>
    </row>
    <row r="289" spans="1:1" x14ac:dyDescent="0.25">
      <c r="A289" t="str">
        <f ca="1">adb_new!B289&amp;" "&amp;adb_new!C289&amp;" "&amp;adb_new!D289&amp;" "&amp;adb_new!E289&amp;" "&amp;adb_new!F289</f>
        <v xml:space="preserve">ELNUCoNTBwNIw j   </v>
      </c>
    </row>
    <row r="290" spans="1:1" x14ac:dyDescent="0.25">
      <c r="A290" t="str">
        <f ca="1">adb_new!B290&amp;" "&amp;adb_new!C290&amp;" "&amp;adb_new!D290&amp;" "&amp;adb_new!E290&amp;" "&amp;adb_new!F290</f>
        <v xml:space="preserve"> minp e-M-TBw 1 </v>
      </c>
    </row>
    <row r="291" spans="1:1" x14ac:dyDescent="0.25">
      <c r="A291" t="str">
        <f ca="1">adb_new!B291&amp;" "&amp;adb_new!C291&amp;" "&amp;adb_new!D291&amp;" "&amp;adb_new!E291&amp;" "&amp;adb_new!F291</f>
        <v xml:space="preserve"> moutp e-I-NIw c 0.963</v>
      </c>
    </row>
    <row r="292" spans="1:1" x14ac:dyDescent="0.25">
      <c r="A292" t="str">
        <f ca="1">adb_new!B292&amp;" "&amp;adb_new!C292&amp;" "&amp;adb_new!D292&amp;" "&amp;adb_new!E292&amp;" "&amp;adb_new!F292</f>
        <v xml:space="preserve"> fyear 2016  </v>
      </c>
    </row>
    <row r="293" spans="1:1" x14ac:dyDescent="0.25">
      <c r="A293" t="str">
        <f ca="1">adb_new!B293&amp;" "&amp;adb_new!C293&amp;" "&amp;adb_new!D293&amp;" "&amp;adb_new!E293&amp;" "&amp;adb_new!F293</f>
        <v xml:space="preserve"> pll c 50 </v>
      </c>
    </row>
    <row r="294" spans="1:1" x14ac:dyDescent="0.25">
      <c r="A294" t="str">
        <f ca="1">adb_new!B294&amp;" "&amp;adb_new!C294&amp;" "&amp;adb_new!D294&amp;" "&amp;adb_new!E294&amp;" "&amp;adb_new!F294</f>
        <v xml:space="preserve"> inv c 0 </v>
      </c>
    </row>
    <row r="295" spans="1:1" x14ac:dyDescent="0.25">
      <c r="A295" t="str">
        <f ca="1">adb_new!B295&amp;" "&amp;adb_new!C295&amp;" "&amp;adb_new!D295&amp;" "&amp;adb_new!E295&amp;" "&amp;adb_new!F295</f>
        <v xml:space="preserve"> optm c 0.9943 </v>
      </c>
    </row>
    <row r="296" spans="1:1" x14ac:dyDescent="0.25">
      <c r="A296" t="str">
        <f ca="1">adb_new!B296&amp;" "&amp;adb_new!C296&amp;" "&amp;adb_new!D296&amp;" "&amp;adb_new!E296&amp;" "&amp;adb_new!F296</f>
        <v xml:space="preserve">    </v>
      </c>
    </row>
    <row r="297" spans="1:1" x14ac:dyDescent="0.25">
      <c r="A297" t="str">
        <f ca="1">adb_new!B297&amp;" "&amp;adb_new!C297&amp;" "&amp;adb_new!D297&amp;" "&amp;adb_new!E297&amp;" "&amp;adb_new!F297</f>
        <v xml:space="preserve"> bdi up c 650</v>
      </c>
    </row>
    <row r="298" spans="1:1" x14ac:dyDescent="0.25">
      <c r="A298" t="str">
        <f ca="1">adb_new!B298&amp;" "&amp;adb_new!C298&amp;" "&amp;adb_new!D298&amp;" "&amp;adb_new!E298&amp;" "&amp;adb_new!F298</f>
        <v xml:space="preserve"> con1c CNT1:tin c -1</v>
      </c>
    </row>
    <row r="299" spans="1:1" x14ac:dyDescent="0.25">
      <c r="A299" t="str">
        <f>adb_new!B299&amp;" "&amp;adb_new!C299&amp;" "&amp;adb_new!D299&amp;" "&amp;adb_new!E299&amp;" "&amp;adb_new!F299</f>
        <v xml:space="preserve">#    </v>
      </c>
    </row>
    <row r="300" spans="1:1" x14ac:dyDescent="0.25">
      <c r="A300" t="str">
        <f>adb_new!B300&amp;" "&amp;adb_new!C300&amp;" "&amp;adb_new!D300&amp;" "&amp;adb_new!E300&amp;" "&amp;adb_new!F300</f>
        <v xml:space="preserve">*    </v>
      </c>
    </row>
    <row r="301" spans="1:1" x14ac:dyDescent="0.25">
      <c r="A301" t="str">
        <f ca="1">adb_new!B301&amp;" "&amp;adb_new!C301&amp;" "&amp;adb_new!D301&amp;" "&amp;adb_new!E301&amp;" "&amp;adb_new!F301</f>
        <v xml:space="preserve">ELNUCoNBUwNIw k   </v>
      </c>
    </row>
    <row r="302" spans="1:1" x14ac:dyDescent="0.25">
      <c r="A302" t="str">
        <f ca="1">adb_new!B302&amp;" "&amp;adb_new!C302&amp;" "&amp;adb_new!D302&amp;" "&amp;adb_new!E302&amp;" "&amp;adb_new!F302</f>
        <v xml:space="preserve"> minp e-A-BUw 1 </v>
      </c>
    </row>
    <row r="303" spans="1:1" x14ac:dyDescent="0.25">
      <c r="A303" t="str">
        <f ca="1">adb_new!B303&amp;" "&amp;adb_new!C303&amp;" "&amp;adb_new!D303&amp;" "&amp;adb_new!E303&amp;" "&amp;adb_new!F303</f>
        <v xml:space="preserve"> moutp e-I-NIw c 0.945</v>
      </c>
    </row>
    <row r="304" spans="1:1" x14ac:dyDescent="0.25">
      <c r="A304" t="str">
        <f ca="1">adb_new!B304&amp;" "&amp;adb_new!C304&amp;" "&amp;adb_new!D304&amp;" "&amp;adb_new!E304&amp;" "&amp;adb_new!F304</f>
        <v xml:space="preserve"> fyear 2016  </v>
      </c>
    </row>
    <row r="305" spans="1:1" x14ac:dyDescent="0.25">
      <c r="A305" t="str">
        <f ca="1">adb_new!B305&amp;" "&amp;adb_new!C305&amp;" "&amp;adb_new!D305&amp;" "&amp;adb_new!E305&amp;" "&amp;adb_new!F305</f>
        <v xml:space="preserve"> pll c 50 </v>
      </c>
    </row>
    <row r="306" spans="1:1" x14ac:dyDescent="0.25">
      <c r="A306" t="str">
        <f ca="1">adb_new!B306&amp;" "&amp;adb_new!C306&amp;" "&amp;adb_new!D306&amp;" "&amp;adb_new!E306&amp;" "&amp;adb_new!F306</f>
        <v xml:space="preserve"> inv c 0 </v>
      </c>
    </row>
    <row r="307" spans="1:1" x14ac:dyDescent="0.25">
      <c r="A307" t="str">
        <f ca="1">adb_new!B307&amp;" "&amp;adb_new!C307&amp;" "&amp;adb_new!D307&amp;" "&amp;adb_new!E307&amp;" "&amp;adb_new!F307</f>
        <v xml:space="preserve"> optm c 0.9914 </v>
      </c>
    </row>
    <row r="308" spans="1:1" x14ac:dyDescent="0.25">
      <c r="A308" t="str">
        <f ca="1">adb_new!B308&amp;" "&amp;adb_new!C308&amp;" "&amp;adb_new!D308&amp;" "&amp;adb_new!E308&amp;" "&amp;adb_new!F308</f>
        <v xml:space="preserve">    </v>
      </c>
    </row>
    <row r="309" spans="1:1" x14ac:dyDescent="0.25">
      <c r="A309" t="str">
        <f ca="1">adb_new!B309&amp;" "&amp;adb_new!C309&amp;" "&amp;adb_new!D309&amp;" "&amp;adb_new!E309&amp;" "&amp;adb_new!F309</f>
        <v xml:space="preserve"> bdi up c 637</v>
      </c>
    </row>
    <row r="310" spans="1:1" x14ac:dyDescent="0.25">
      <c r="A310" t="str">
        <f ca="1">adb_new!B310&amp;" "&amp;adb_new!C310&amp;" "&amp;adb_new!D310&amp;" "&amp;adb_new!E310&amp;" "&amp;adb_new!F310</f>
        <v xml:space="preserve"> con1c CNB1:tin c -1</v>
      </c>
    </row>
    <row r="311" spans="1:1" x14ac:dyDescent="0.25">
      <c r="A311" t="str">
        <f>adb_new!B311&amp;" "&amp;adb_new!C311&amp;" "&amp;adb_new!D311&amp;" "&amp;adb_new!E311&amp;" "&amp;adb_new!F311</f>
        <v xml:space="preserve">#    </v>
      </c>
    </row>
    <row r="312" spans="1:1" x14ac:dyDescent="0.25">
      <c r="A312" t="str">
        <f>adb_new!B312&amp;" "&amp;adb_new!C312&amp;" "&amp;adb_new!D312&amp;" "&amp;adb_new!E312&amp;" "&amp;adb_new!F312</f>
        <v xml:space="preserve">    </v>
      </c>
    </row>
    <row r="313" spans="1:1" x14ac:dyDescent="0.25">
      <c r="A313" t="str">
        <f>adb_new!B313&amp;" "&amp;adb_new!C313&amp;" "&amp;adb_new!D313&amp;" "&amp;adb_new!E313&amp;" "&amp;adb_new!F313</f>
        <v xml:space="preserve">*    </v>
      </c>
    </row>
    <row r="314" spans="1:1" x14ac:dyDescent="0.25">
      <c r="A314" t="str">
        <f ca="1">adb_new!B314&amp;" "&amp;adb_new!C314&amp;" "&amp;adb_new!D314&amp;" "&amp;adb_new!E314&amp;" "&amp;adb_new!F314</f>
        <v xml:space="preserve">ELNUhubGUwMAw o   </v>
      </c>
    </row>
    <row r="315" spans="1:1" x14ac:dyDescent="0.25">
      <c r="A315" t="str">
        <f ca="1">adb_new!B315&amp;" "&amp;adb_new!C315&amp;" "&amp;adb_new!D315&amp;" "&amp;adb_new!E315&amp;" "&amp;adb_new!F315</f>
        <v xml:space="preserve"> minp e-E-GUw 1 </v>
      </c>
    </row>
    <row r="316" spans="1:1" x14ac:dyDescent="0.25">
      <c r="A316" t="str">
        <f ca="1">adb_new!B316&amp;" "&amp;adb_new!C316&amp;" "&amp;adb_new!D316&amp;" "&amp;adb_new!E316&amp;" "&amp;adb_new!F316</f>
        <v xml:space="preserve"> moutp e-H-MAw c 0.959</v>
      </c>
    </row>
    <row r="317" spans="1:1" x14ac:dyDescent="0.25">
      <c r="A317" t="str">
        <f ca="1">adb_new!B317&amp;" "&amp;adb_new!C317&amp;" "&amp;adb_new!D317&amp;" "&amp;adb_new!E317&amp;" "&amp;adb_new!F317</f>
        <v xml:space="preserve"> fyear 2016  </v>
      </c>
    </row>
    <row r="318" spans="1:1" x14ac:dyDescent="0.25">
      <c r="A318" t="str">
        <f ca="1">adb_new!B318&amp;" "&amp;adb_new!C318&amp;" "&amp;adb_new!D318&amp;" "&amp;adb_new!E318&amp;" "&amp;adb_new!F318</f>
        <v xml:space="preserve"> pll c 50 </v>
      </c>
    </row>
    <row r="319" spans="1:1" x14ac:dyDescent="0.25">
      <c r="A319" t="str">
        <f ca="1">adb_new!B319&amp;" "&amp;adb_new!C319&amp;" "&amp;adb_new!D319&amp;" "&amp;adb_new!E319&amp;" "&amp;adb_new!F319</f>
        <v xml:space="preserve"> inv c 366.1 </v>
      </c>
    </row>
    <row r="320" spans="1:1" x14ac:dyDescent="0.25">
      <c r="A320" t="str">
        <f ca="1">adb_new!B320&amp;" "&amp;adb_new!C320&amp;" "&amp;adb_new!D320&amp;" "&amp;adb_new!E320&amp;" "&amp;adb_new!F320</f>
        <v xml:space="preserve"> optm c 0.9936 </v>
      </c>
    </row>
    <row r="321" spans="1:1" x14ac:dyDescent="0.25">
      <c r="A321" t="str">
        <f ca="1">adb_new!B321&amp;" "&amp;adb_new!C321&amp;" "&amp;adb_new!D321&amp;" "&amp;adb_new!E321&amp;" "&amp;adb_new!F321</f>
        <v xml:space="preserve">    </v>
      </c>
    </row>
    <row r="322" spans="1:1" x14ac:dyDescent="0.25">
      <c r="A322" t="str">
        <f ca="1">adb_new!B322&amp;" "&amp;adb_new!C322&amp;" "&amp;adb_new!D322&amp;" "&amp;adb_new!E322&amp;" "&amp;adb_new!F322</f>
        <v xml:space="preserve"> bdi up c 321</v>
      </c>
    </row>
    <row r="323" spans="1:1" x14ac:dyDescent="0.25">
      <c r="A323" t="str">
        <f ca="1">adb_new!B323&amp;" "&amp;adb_new!C323&amp;" "&amp;adb_new!D323&amp;" "&amp;adb_new!E323&amp;" "&amp;adb_new!F323</f>
        <v xml:space="preserve"> con1c hGM1:tin c 1</v>
      </c>
    </row>
    <row r="324" spans="1:1" x14ac:dyDescent="0.25">
      <c r="A324" t="str">
        <f>adb_new!B324&amp;" "&amp;adb_new!C324&amp;" "&amp;adb_new!D324&amp;" "&amp;adb_new!E324&amp;" "&amp;adb_new!F324</f>
        <v xml:space="preserve">#    </v>
      </c>
    </row>
    <row r="325" spans="1:1" x14ac:dyDescent="0.25">
      <c r="A325" t="str">
        <f>adb_new!B325&amp;" "&amp;adb_new!C325&amp;" "&amp;adb_new!D325&amp;" "&amp;adb_new!E325&amp;" "&amp;adb_new!F325</f>
        <v xml:space="preserve">*    </v>
      </c>
    </row>
    <row r="326" spans="1:1" x14ac:dyDescent="0.25">
      <c r="A326" t="str">
        <f ca="1">adb_new!B326&amp;" "&amp;adb_new!C326&amp;" "&amp;adb_new!D326&amp;" "&amp;adb_new!E326&amp;" "&amp;adb_new!F326</f>
        <v xml:space="preserve">ELNUhubMAwGUw p   </v>
      </c>
    </row>
    <row r="327" spans="1:1" x14ac:dyDescent="0.25">
      <c r="A327" t="str">
        <f ca="1">adb_new!B327&amp;" "&amp;adb_new!C327&amp;" "&amp;adb_new!D327&amp;" "&amp;adb_new!E327&amp;" "&amp;adb_new!F327</f>
        <v xml:space="preserve"> minp e-H-MAw 1 </v>
      </c>
    </row>
    <row r="328" spans="1:1" x14ac:dyDescent="0.25">
      <c r="A328" t="str">
        <f ca="1">adb_new!B328&amp;" "&amp;adb_new!C328&amp;" "&amp;adb_new!D328&amp;" "&amp;adb_new!E328&amp;" "&amp;adb_new!F328</f>
        <v xml:space="preserve"> moutp e-E-GUw c 0.959</v>
      </c>
    </row>
    <row r="329" spans="1:1" x14ac:dyDescent="0.25">
      <c r="A329" t="str">
        <f ca="1">adb_new!B329&amp;" "&amp;adb_new!C329&amp;" "&amp;adb_new!D329&amp;" "&amp;adb_new!E329&amp;" "&amp;adb_new!F329</f>
        <v xml:space="preserve"> fyear 2016  </v>
      </c>
    </row>
    <row r="330" spans="1:1" x14ac:dyDescent="0.25">
      <c r="A330" t="str">
        <f ca="1">adb_new!B330&amp;" "&amp;adb_new!C330&amp;" "&amp;adb_new!D330&amp;" "&amp;adb_new!E330&amp;" "&amp;adb_new!F330</f>
        <v xml:space="preserve"> pll c 50 </v>
      </c>
    </row>
    <row r="331" spans="1:1" x14ac:dyDescent="0.25">
      <c r="A331" t="str">
        <f ca="1">adb_new!B331&amp;" "&amp;adb_new!C331&amp;" "&amp;adb_new!D331&amp;" "&amp;adb_new!E331&amp;" "&amp;adb_new!F331</f>
        <v xml:space="preserve"> inv c 0 </v>
      </c>
    </row>
    <row r="332" spans="1:1" x14ac:dyDescent="0.25">
      <c r="A332" t="str">
        <f ca="1">adb_new!B332&amp;" "&amp;adb_new!C332&amp;" "&amp;adb_new!D332&amp;" "&amp;adb_new!E332&amp;" "&amp;adb_new!F332</f>
        <v xml:space="preserve"> optm c 0.9936 </v>
      </c>
    </row>
    <row r="333" spans="1:1" x14ac:dyDescent="0.25">
      <c r="A333" t="str">
        <f ca="1">adb_new!B333&amp;" "&amp;adb_new!C333&amp;" "&amp;adb_new!D333&amp;" "&amp;adb_new!E333&amp;" "&amp;adb_new!F333</f>
        <v xml:space="preserve">    </v>
      </c>
    </row>
    <row r="334" spans="1:1" x14ac:dyDescent="0.25">
      <c r="A334" t="str">
        <f ca="1">adb_new!B334&amp;" "&amp;adb_new!C334&amp;" "&amp;adb_new!D334&amp;" "&amp;adb_new!E334&amp;" "&amp;adb_new!F334</f>
        <v xml:space="preserve"> bdi up c 321</v>
      </c>
    </row>
    <row r="335" spans="1:1" x14ac:dyDescent="0.25">
      <c r="A335" t="str">
        <f ca="1">adb_new!B335&amp;" "&amp;adb_new!C335&amp;" "&amp;adb_new!D335&amp;" "&amp;adb_new!E335&amp;" "&amp;adb_new!F335</f>
        <v xml:space="preserve"> con1c hGM1:tin c -1</v>
      </c>
    </row>
    <row r="336" spans="1:1" x14ac:dyDescent="0.25">
      <c r="A336" t="str">
        <f>adb_new!B336&amp;" "&amp;adb_new!C336&amp;" "&amp;adb_new!D336&amp;" "&amp;adb_new!E336&amp;" "&amp;adb_new!F336</f>
        <v xml:space="preserve">#    </v>
      </c>
    </row>
    <row r="337" spans="1:1" x14ac:dyDescent="0.25">
      <c r="A337" t="str">
        <f>adb_new!B337&amp;" "&amp;adb_new!C337&amp;" "&amp;adb_new!D337&amp;" "&amp;adb_new!E337&amp;" "&amp;adb_new!F337</f>
        <v xml:space="preserve">    </v>
      </c>
    </row>
    <row r="338" spans="1:1" x14ac:dyDescent="0.25">
      <c r="A338" t="str">
        <f>adb_new!B338&amp;" "&amp;adb_new!C338&amp;" "&amp;adb_new!D338&amp;" "&amp;adb_new!E338&amp;" "&amp;adb_new!F338</f>
        <v xml:space="preserve">*    </v>
      </c>
    </row>
    <row r="339" spans="1:1" x14ac:dyDescent="0.25">
      <c r="A339" t="str">
        <f ca="1">adb_new!B339&amp;" "&amp;adb_new!C339&amp;" "&amp;adb_new!D339&amp;" "&amp;adb_new!E339&amp;" "&amp;adb_new!F339</f>
        <v xml:space="preserve">ELNUDmeNGwTBw k   </v>
      </c>
    </row>
    <row r="340" spans="1:1" x14ac:dyDescent="0.25">
      <c r="A340" t="str">
        <f ca="1">adb_new!B340&amp;" "&amp;adb_new!C340&amp;" "&amp;adb_new!D340&amp;" "&amp;adb_new!E340&amp;" "&amp;adb_new!F340</f>
        <v xml:space="preserve"> minp e-J-NGw 1 </v>
      </c>
    </row>
    <row r="341" spans="1:1" x14ac:dyDescent="0.25">
      <c r="A341" t="str">
        <f ca="1">adb_new!B341&amp;" "&amp;adb_new!C341&amp;" "&amp;adb_new!D341&amp;" "&amp;adb_new!E341&amp;" "&amp;adb_new!F341</f>
        <v xml:space="preserve"> moutp e-M-TBw c 0.959</v>
      </c>
    </row>
    <row r="342" spans="1:1" x14ac:dyDescent="0.25">
      <c r="A342" t="str">
        <f ca="1">adb_new!B342&amp;" "&amp;adb_new!C342&amp;" "&amp;adb_new!D342&amp;" "&amp;adb_new!E342&amp;" "&amp;adb_new!F342</f>
        <v xml:space="preserve"> fyear 2020  </v>
      </c>
    </row>
    <row r="343" spans="1:1" x14ac:dyDescent="0.25">
      <c r="A343" t="str">
        <f ca="1">adb_new!B343&amp;" "&amp;adb_new!C343&amp;" "&amp;adb_new!D343&amp;" "&amp;adb_new!E343&amp;" "&amp;adb_new!F343</f>
        <v xml:space="preserve"> pll c 50 </v>
      </c>
    </row>
    <row r="344" spans="1:1" x14ac:dyDescent="0.25">
      <c r="A344" t="str">
        <f ca="1">adb_new!B344&amp;" "&amp;adb_new!C344&amp;" "&amp;adb_new!D344&amp;" "&amp;adb_new!E344&amp;" "&amp;adb_new!F344</f>
        <v xml:space="preserve"> inv c 254.6 </v>
      </c>
    </row>
    <row r="345" spans="1:1" x14ac:dyDescent="0.25">
      <c r="A345" t="str">
        <f ca="1">adb_new!B345&amp;" "&amp;adb_new!C345&amp;" "&amp;adb_new!D345&amp;" "&amp;adb_new!E345&amp;" "&amp;adb_new!F345</f>
        <v xml:space="preserve"> optm c 0.9936 </v>
      </c>
    </row>
    <row r="346" spans="1:1" x14ac:dyDescent="0.25">
      <c r="A346" t="str">
        <f ca="1">adb_new!B346&amp;" "&amp;adb_new!C346&amp;" "&amp;adb_new!D346&amp;" "&amp;adb_new!E346&amp;" "&amp;adb_new!F346</f>
        <v xml:space="preserve">    </v>
      </c>
    </row>
    <row r="347" spans="1:1" x14ac:dyDescent="0.25">
      <c r="A347" t="str">
        <f ca="1">adb_new!B347&amp;" "&amp;adb_new!C347&amp;" "&amp;adb_new!D347&amp;" "&amp;adb_new!E347&amp;" "&amp;adb_new!F347</f>
        <v xml:space="preserve"> bdi up c 647</v>
      </c>
    </row>
    <row r="348" spans="1:1" x14ac:dyDescent="0.25">
      <c r="A348" t="str">
        <f ca="1">adb_new!B348&amp;" "&amp;adb_new!C348&amp;" "&amp;adb_new!D348&amp;" "&amp;adb_new!E348&amp;" "&amp;adb_new!F348</f>
        <v xml:space="preserve"> con1c DNT1:tin c 1</v>
      </c>
    </row>
    <row r="349" spans="1:1" x14ac:dyDescent="0.25">
      <c r="A349" t="str">
        <f>adb_new!B349&amp;" "&amp;adb_new!C349&amp;" "&amp;adb_new!D349&amp;" "&amp;adb_new!E349&amp;" "&amp;adb_new!F349</f>
        <v xml:space="preserve">#    </v>
      </c>
    </row>
    <row r="350" spans="1:1" x14ac:dyDescent="0.25">
      <c r="A350" t="str">
        <f>adb_new!B350&amp;" "&amp;adb_new!C350&amp;" "&amp;adb_new!D350&amp;" "&amp;adb_new!E350&amp;" "&amp;adb_new!F350</f>
        <v xml:space="preserve">*    </v>
      </c>
    </row>
    <row r="351" spans="1:1" x14ac:dyDescent="0.25">
      <c r="A351" t="str">
        <f ca="1">adb_new!B351&amp;" "&amp;adb_new!C351&amp;" "&amp;adb_new!D351&amp;" "&amp;adb_new!E351&amp;" "&amp;adb_new!F351</f>
        <v xml:space="preserve">ELNUDMeTBwGHw l   </v>
      </c>
    </row>
    <row r="352" spans="1:1" x14ac:dyDescent="0.25">
      <c r="A352" t="str">
        <f ca="1">adb_new!B352&amp;" "&amp;adb_new!C352&amp;" "&amp;adb_new!D352&amp;" "&amp;adb_new!E352&amp;" "&amp;adb_new!F352</f>
        <v xml:space="preserve"> minp e-M-TBw 1 </v>
      </c>
    </row>
    <row r="353" spans="1:1" x14ac:dyDescent="0.25">
      <c r="A353" t="str">
        <f ca="1">adb_new!B353&amp;" "&amp;adb_new!C353&amp;" "&amp;adb_new!D353&amp;" "&amp;adb_new!E353&amp;" "&amp;adb_new!F353</f>
        <v xml:space="preserve"> moutp e-D-GHw c 0.971</v>
      </c>
    </row>
    <row r="354" spans="1:1" x14ac:dyDescent="0.25">
      <c r="A354" t="str">
        <f ca="1">adb_new!B354&amp;" "&amp;adb_new!C354&amp;" "&amp;adb_new!D354&amp;" "&amp;adb_new!E354&amp;" "&amp;adb_new!F354</f>
        <v xml:space="preserve"> fyear 2020  </v>
      </c>
    </row>
    <row r="355" spans="1:1" x14ac:dyDescent="0.25">
      <c r="A355" t="str">
        <f ca="1">adb_new!B355&amp;" "&amp;adb_new!C355&amp;" "&amp;adb_new!D355&amp;" "&amp;adb_new!E355&amp;" "&amp;adb_new!F355</f>
        <v xml:space="preserve"> pll c 50 </v>
      </c>
    </row>
    <row r="356" spans="1:1" x14ac:dyDescent="0.25">
      <c r="A356" t="str">
        <f ca="1">adb_new!B356&amp;" "&amp;adb_new!C356&amp;" "&amp;adb_new!D356&amp;" "&amp;adb_new!E356&amp;" "&amp;adb_new!F356</f>
        <v xml:space="preserve"> inv c 179.7 </v>
      </c>
    </row>
    <row r="357" spans="1:1" x14ac:dyDescent="0.25">
      <c r="A357" t="str">
        <f ca="1">adb_new!B357&amp;" "&amp;adb_new!C357&amp;" "&amp;adb_new!D357&amp;" "&amp;adb_new!E357&amp;" "&amp;adb_new!F357</f>
        <v xml:space="preserve"> optm c 0.9954 </v>
      </c>
    </row>
    <row r="358" spans="1:1" x14ac:dyDescent="0.25">
      <c r="A358" t="str">
        <f ca="1">adb_new!B358&amp;" "&amp;adb_new!C358&amp;" "&amp;adb_new!D358&amp;" "&amp;adb_new!E358&amp;" "&amp;adb_new!F358</f>
        <v xml:space="preserve">    </v>
      </c>
    </row>
    <row r="359" spans="1:1" x14ac:dyDescent="0.25">
      <c r="A359" t="str">
        <f ca="1">adb_new!B359&amp;" "&amp;adb_new!C359&amp;" "&amp;adb_new!D359&amp;" "&amp;adb_new!E359&amp;" "&amp;adb_new!F359</f>
        <v xml:space="preserve"> bdi up c 654</v>
      </c>
    </row>
    <row r="360" spans="1:1" x14ac:dyDescent="0.25">
      <c r="A360" t="str">
        <f ca="1">adb_new!B360&amp;" "&amp;adb_new!C360&amp;" "&amp;adb_new!D360&amp;" "&amp;adb_new!E360&amp;" "&amp;adb_new!F360</f>
        <v xml:space="preserve"> con1c DTG1:tin c 1</v>
      </c>
    </row>
    <row r="361" spans="1:1" x14ac:dyDescent="0.25">
      <c r="A361" t="str">
        <f>adb_new!B361&amp;" "&amp;adb_new!C361&amp;" "&amp;adb_new!D361&amp;" "&amp;adb_new!E361&amp;" "&amp;adb_new!F361</f>
        <v xml:space="preserve">#    </v>
      </c>
    </row>
    <row r="362" spans="1:1" x14ac:dyDescent="0.25">
      <c r="A362" t="str">
        <f>adb_new!B362&amp;" "&amp;adb_new!C362&amp;" "&amp;adb_new!D362&amp;" "&amp;adb_new!E362&amp;" "&amp;adb_new!F362</f>
        <v xml:space="preserve">*    </v>
      </c>
    </row>
    <row r="363" spans="1:1" x14ac:dyDescent="0.25">
      <c r="A363" t="str">
        <f ca="1">adb_new!B363&amp;" "&amp;adb_new!C363&amp;" "&amp;adb_new!D363&amp;" "&amp;adb_new!E363&amp;" "&amp;adb_new!F363</f>
        <v xml:space="preserve">ELNUDMeTBwNGw m   </v>
      </c>
    </row>
    <row r="364" spans="1:1" x14ac:dyDescent="0.25">
      <c r="A364" t="str">
        <f ca="1">adb_new!B364&amp;" "&amp;adb_new!C364&amp;" "&amp;adb_new!D364&amp;" "&amp;adb_new!E364&amp;" "&amp;adb_new!F364</f>
        <v xml:space="preserve"> minp e-M-TBw 1 </v>
      </c>
    </row>
    <row r="365" spans="1:1" x14ac:dyDescent="0.25">
      <c r="A365" t="str">
        <f ca="1">adb_new!B365&amp;" "&amp;adb_new!C365&amp;" "&amp;adb_new!D365&amp;" "&amp;adb_new!E365&amp;" "&amp;adb_new!F365</f>
        <v xml:space="preserve"> moutp e-J-NGw c 0.959</v>
      </c>
    </row>
    <row r="366" spans="1:1" x14ac:dyDescent="0.25">
      <c r="A366" t="str">
        <f ca="1">adb_new!B366&amp;" "&amp;adb_new!C366&amp;" "&amp;adb_new!D366&amp;" "&amp;adb_new!E366&amp;" "&amp;adb_new!F366</f>
        <v xml:space="preserve"> fyear 2020  </v>
      </c>
    </row>
    <row r="367" spans="1:1" x14ac:dyDescent="0.25">
      <c r="A367" t="str">
        <f ca="1">adb_new!B367&amp;" "&amp;adb_new!C367&amp;" "&amp;adb_new!D367&amp;" "&amp;adb_new!E367&amp;" "&amp;adb_new!F367</f>
        <v xml:space="preserve"> pll c 50 </v>
      </c>
    </row>
    <row r="368" spans="1:1" x14ac:dyDescent="0.25">
      <c r="A368" t="str">
        <f ca="1">adb_new!B368&amp;" "&amp;adb_new!C368&amp;" "&amp;adb_new!D368&amp;" "&amp;adb_new!E368&amp;" "&amp;adb_new!F368</f>
        <v xml:space="preserve"> inv c 0 </v>
      </c>
    </row>
    <row r="369" spans="1:1" x14ac:dyDescent="0.25">
      <c r="A369" t="str">
        <f ca="1">adb_new!B369&amp;" "&amp;adb_new!C369&amp;" "&amp;adb_new!D369&amp;" "&amp;adb_new!E369&amp;" "&amp;adb_new!F369</f>
        <v xml:space="preserve"> optm c 0.9936 </v>
      </c>
    </row>
    <row r="370" spans="1:1" x14ac:dyDescent="0.25">
      <c r="A370" t="str">
        <f ca="1">adb_new!B370&amp;" "&amp;adb_new!C370&amp;" "&amp;adb_new!D370&amp;" "&amp;adb_new!E370&amp;" "&amp;adb_new!F370</f>
        <v xml:space="preserve">    </v>
      </c>
    </row>
    <row r="371" spans="1:1" x14ac:dyDescent="0.25">
      <c r="A371" t="str">
        <f ca="1">adb_new!B371&amp;" "&amp;adb_new!C371&amp;" "&amp;adb_new!D371&amp;" "&amp;adb_new!E371&amp;" "&amp;adb_new!F371</f>
        <v xml:space="preserve"> bdi up c 647</v>
      </c>
    </row>
    <row r="372" spans="1:1" x14ac:dyDescent="0.25">
      <c r="A372" t="str">
        <f ca="1">adb_new!B372&amp;" "&amp;adb_new!C372&amp;" "&amp;adb_new!D372&amp;" "&amp;adb_new!E372&amp;" "&amp;adb_new!F372</f>
        <v xml:space="preserve"> con1c DNT1:tin c -1</v>
      </c>
    </row>
    <row r="373" spans="1:1" x14ac:dyDescent="0.25">
      <c r="A373" t="str">
        <f>adb_new!B373&amp;" "&amp;adb_new!C373&amp;" "&amp;adb_new!D373&amp;" "&amp;adb_new!E373&amp;" "&amp;adb_new!F373</f>
        <v xml:space="preserve">#    </v>
      </c>
    </row>
    <row r="374" spans="1:1" x14ac:dyDescent="0.25">
      <c r="A374" t="str">
        <f>adb_new!B374&amp;" "&amp;adb_new!C374&amp;" "&amp;adb_new!D374&amp;" "&amp;adb_new!E374&amp;" "&amp;adb_new!F374</f>
        <v xml:space="preserve">*    </v>
      </c>
    </row>
    <row r="375" spans="1:1" x14ac:dyDescent="0.25">
      <c r="A375" t="str">
        <f ca="1">adb_new!B375&amp;" "&amp;adb_new!C375&amp;" "&amp;adb_new!D375&amp;" "&amp;adb_new!E375&amp;" "&amp;adb_new!F375</f>
        <v xml:space="preserve">ELNUDMeGHwTBw n   </v>
      </c>
    </row>
    <row r="376" spans="1:1" x14ac:dyDescent="0.25">
      <c r="A376" t="str">
        <f ca="1">adb_new!B376&amp;" "&amp;adb_new!C376&amp;" "&amp;adb_new!D376&amp;" "&amp;adb_new!E376&amp;" "&amp;adb_new!F376</f>
        <v xml:space="preserve"> minp e-D-GHw 1 </v>
      </c>
    </row>
    <row r="377" spans="1:1" x14ac:dyDescent="0.25">
      <c r="A377" t="str">
        <f ca="1">adb_new!B377&amp;" "&amp;adb_new!C377&amp;" "&amp;adb_new!D377&amp;" "&amp;adb_new!E377&amp;" "&amp;adb_new!F377</f>
        <v xml:space="preserve"> moutp e-M-TBw c 0.971</v>
      </c>
    </row>
    <row r="378" spans="1:1" x14ac:dyDescent="0.25">
      <c r="A378" t="str">
        <f ca="1">adb_new!B378&amp;" "&amp;adb_new!C378&amp;" "&amp;adb_new!D378&amp;" "&amp;adb_new!E378&amp;" "&amp;adb_new!F378</f>
        <v xml:space="preserve"> fyear 2020  </v>
      </c>
    </row>
    <row r="379" spans="1:1" x14ac:dyDescent="0.25">
      <c r="A379" t="str">
        <f ca="1">adb_new!B379&amp;" "&amp;adb_new!C379&amp;" "&amp;adb_new!D379&amp;" "&amp;adb_new!E379&amp;" "&amp;adb_new!F379</f>
        <v xml:space="preserve"> pll c 50 </v>
      </c>
    </row>
    <row r="380" spans="1:1" x14ac:dyDescent="0.25">
      <c r="A380" t="str">
        <f ca="1">adb_new!B380&amp;" "&amp;adb_new!C380&amp;" "&amp;adb_new!D380&amp;" "&amp;adb_new!E380&amp;" "&amp;adb_new!F380</f>
        <v xml:space="preserve"> inv c 0 </v>
      </c>
    </row>
    <row r="381" spans="1:1" x14ac:dyDescent="0.25">
      <c r="A381" t="str">
        <f ca="1">adb_new!B381&amp;" "&amp;adb_new!C381&amp;" "&amp;adb_new!D381&amp;" "&amp;adb_new!E381&amp;" "&amp;adb_new!F381</f>
        <v xml:space="preserve"> optm c 0.9954 </v>
      </c>
    </row>
    <row r="382" spans="1:1" x14ac:dyDescent="0.25">
      <c r="A382" t="str">
        <f ca="1">adb_new!B382&amp;" "&amp;adb_new!C382&amp;" "&amp;adb_new!D382&amp;" "&amp;adb_new!E382&amp;" "&amp;adb_new!F382</f>
        <v xml:space="preserve">    </v>
      </c>
    </row>
    <row r="383" spans="1:1" x14ac:dyDescent="0.25">
      <c r="A383" t="str">
        <f ca="1">adb_new!B383&amp;" "&amp;adb_new!C383&amp;" "&amp;adb_new!D383&amp;" "&amp;adb_new!E383&amp;" "&amp;adb_new!F383</f>
        <v xml:space="preserve"> bdi up c 654</v>
      </c>
    </row>
    <row r="384" spans="1:1" x14ac:dyDescent="0.25">
      <c r="A384" t="str">
        <f ca="1">adb_new!B384&amp;" "&amp;adb_new!C384&amp;" "&amp;adb_new!D384&amp;" "&amp;adb_new!E384&amp;" "&amp;adb_new!F384</f>
        <v xml:space="preserve"> con1c DTG1:tin c -1</v>
      </c>
    </row>
    <row r="385" spans="1:1" x14ac:dyDescent="0.25">
      <c r="A385" t="str">
        <f>adb_new!B385&amp;" "&amp;adb_new!C385&amp;" "&amp;adb_new!D385&amp;" "&amp;adb_new!E385&amp;" "&amp;adb_new!F385</f>
        <v xml:space="preserve">#    </v>
      </c>
    </row>
    <row r="386" spans="1:1" x14ac:dyDescent="0.25">
      <c r="A386" t="str">
        <f>adb_new!B386&amp;" "&amp;adb_new!C386&amp;" "&amp;adb_new!D386&amp;" "&amp;adb_new!E386&amp;" "&amp;adb_new!F386</f>
        <v xml:space="preserve">    </v>
      </c>
    </row>
    <row r="387" spans="1:1" x14ac:dyDescent="0.25">
      <c r="A387" t="str">
        <f>adb_new!B387&amp;" "&amp;adb_new!C387&amp;" "&amp;adb_new!D387&amp;" "&amp;adb_new!E387&amp;" "&amp;adb_new!F387</f>
        <v xml:space="preserve">*    </v>
      </c>
    </row>
    <row r="388" spans="1:1" x14ac:dyDescent="0.25">
      <c r="A388" t="str">
        <f ca="1">adb_new!B388&amp;" "&amp;adb_new!C388&amp;" "&amp;adb_new!D388&amp;" "&amp;adb_new!E388&amp;" "&amp;adb_new!F388</f>
        <v xml:space="preserve">ELNUOMVGMAwSEw k   </v>
      </c>
    </row>
    <row r="389" spans="1:1" x14ac:dyDescent="0.25">
      <c r="A389" t="str">
        <f ca="1">adb_new!B389&amp;" "&amp;adb_new!C389&amp;" "&amp;adb_new!D389&amp;" "&amp;adb_new!E389&amp;" "&amp;adb_new!F389</f>
        <v xml:space="preserve"> minp e-H-MAw 1 </v>
      </c>
    </row>
    <row r="390" spans="1:1" x14ac:dyDescent="0.25">
      <c r="A390" t="str">
        <f ca="1">adb_new!B390&amp;" "&amp;adb_new!C390&amp;" "&amp;adb_new!D390&amp;" "&amp;adb_new!E390&amp;" "&amp;adb_new!F390</f>
        <v xml:space="preserve"> moutp e-K-SEw c 0.971</v>
      </c>
    </row>
    <row r="391" spans="1:1" x14ac:dyDescent="0.25">
      <c r="A391" t="str">
        <f ca="1">adb_new!B391&amp;" "&amp;adb_new!C391&amp;" "&amp;adb_new!D391&amp;" "&amp;adb_new!E391&amp;" "&amp;adb_new!F391</f>
        <v xml:space="preserve"> fyear 2020  </v>
      </c>
    </row>
    <row r="392" spans="1:1" x14ac:dyDescent="0.25">
      <c r="A392" t="str">
        <f ca="1">adb_new!B392&amp;" "&amp;adb_new!C392&amp;" "&amp;adb_new!D392&amp;" "&amp;adb_new!E392&amp;" "&amp;adb_new!F392</f>
        <v xml:space="preserve"> pll c 50 </v>
      </c>
    </row>
    <row r="393" spans="1:1" x14ac:dyDescent="0.25">
      <c r="A393" t="str">
        <f ca="1">adb_new!B393&amp;" "&amp;adb_new!C393&amp;" "&amp;adb_new!D393&amp;" "&amp;adb_new!E393&amp;" "&amp;adb_new!F393</f>
        <v xml:space="preserve"> inv c 299.7 </v>
      </c>
    </row>
    <row r="394" spans="1:1" x14ac:dyDescent="0.25">
      <c r="A394" t="str">
        <f ca="1">adb_new!B394&amp;" "&amp;adb_new!C394&amp;" "&amp;adb_new!D394&amp;" "&amp;adb_new!E394&amp;" "&amp;adb_new!F394</f>
        <v xml:space="preserve"> optm c 0.9954 </v>
      </c>
    </row>
    <row r="395" spans="1:1" x14ac:dyDescent="0.25">
      <c r="A395" t="str">
        <f ca="1">adb_new!B395&amp;" "&amp;adb_new!C395&amp;" "&amp;adb_new!D395&amp;" "&amp;adb_new!E395&amp;" "&amp;adb_new!F395</f>
        <v xml:space="preserve">    </v>
      </c>
    </row>
    <row r="396" spans="1:1" x14ac:dyDescent="0.25">
      <c r="A396" t="str">
        <f ca="1">adb_new!B396&amp;" "&amp;adb_new!C396&amp;" "&amp;adb_new!D396&amp;" "&amp;adb_new!E396&amp;" "&amp;adb_new!F396</f>
        <v xml:space="preserve"> bdi up c 329</v>
      </c>
    </row>
    <row r="397" spans="1:1" x14ac:dyDescent="0.25">
      <c r="A397" t="str">
        <f ca="1">adb_new!B397&amp;" "&amp;adb_new!C397&amp;" "&amp;adb_new!D397&amp;" "&amp;adb_new!E397&amp;" "&amp;adb_new!F397</f>
        <v xml:space="preserve"> con1c OMS1:tin c 1</v>
      </c>
    </row>
    <row r="398" spans="1:1" x14ac:dyDescent="0.25">
      <c r="A398" t="str">
        <f>adb_new!B398&amp;" "&amp;adb_new!C398&amp;" "&amp;adb_new!D398&amp;" "&amp;adb_new!E398&amp;" "&amp;adb_new!F398</f>
        <v xml:space="preserve">#    </v>
      </c>
    </row>
    <row r="399" spans="1:1" x14ac:dyDescent="0.25">
      <c r="A399" t="str">
        <f>adb_new!B399&amp;" "&amp;adb_new!C399&amp;" "&amp;adb_new!D399&amp;" "&amp;adb_new!E399&amp;" "&amp;adb_new!F399</f>
        <v xml:space="preserve">*    </v>
      </c>
    </row>
    <row r="400" spans="1:1" x14ac:dyDescent="0.25">
      <c r="A400" t="str">
        <f ca="1">adb_new!B400&amp;" "&amp;adb_new!C400&amp;" "&amp;adb_new!D400&amp;" "&amp;adb_new!E400&amp;" "&amp;adb_new!F400</f>
        <v xml:space="preserve">ELNUOMVSSEwMAw l   </v>
      </c>
    </row>
    <row r="401" spans="1:1" x14ac:dyDescent="0.25">
      <c r="A401" t="str">
        <f ca="1">adb_new!B401&amp;" "&amp;adb_new!C401&amp;" "&amp;adb_new!D401&amp;" "&amp;adb_new!E401&amp;" "&amp;adb_new!F401</f>
        <v xml:space="preserve"> minp e-K-SEw 1 </v>
      </c>
    </row>
    <row r="402" spans="1:1" x14ac:dyDescent="0.25">
      <c r="A402" t="str">
        <f ca="1">adb_new!B402&amp;" "&amp;adb_new!C402&amp;" "&amp;adb_new!D402&amp;" "&amp;adb_new!E402&amp;" "&amp;adb_new!F402</f>
        <v xml:space="preserve"> moutp e-H-MAw c 0.971</v>
      </c>
    </row>
    <row r="403" spans="1:1" x14ac:dyDescent="0.25">
      <c r="A403" t="str">
        <f ca="1">adb_new!B403&amp;" "&amp;adb_new!C403&amp;" "&amp;adb_new!D403&amp;" "&amp;adb_new!E403&amp;" "&amp;adb_new!F403</f>
        <v xml:space="preserve"> fyear 2020  </v>
      </c>
    </row>
    <row r="404" spans="1:1" x14ac:dyDescent="0.25">
      <c r="A404" t="str">
        <f ca="1">adb_new!B404&amp;" "&amp;adb_new!C404&amp;" "&amp;adb_new!D404&amp;" "&amp;adb_new!E404&amp;" "&amp;adb_new!F404</f>
        <v xml:space="preserve"> pll c 50 </v>
      </c>
    </row>
    <row r="405" spans="1:1" x14ac:dyDescent="0.25">
      <c r="A405" t="str">
        <f ca="1">adb_new!B405&amp;" "&amp;adb_new!C405&amp;" "&amp;adb_new!D405&amp;" "&amp;adb_new!E405&amp;" "&amp;adb_new!F405</f>
        <v xml:space="preserve"> inv c 0 </v>
      </c>
    </row>
    <row r="406" spans="1:1" x14ac:dyDescent="0.25">
      <c r="A406" t="str">
        <f ca="1">adb_new!B406&amp;" "&amp;adb_new!C406&amp;" "&amp;adb_new!D406&amp;" "&amp;adb_new!E406&amp;" "&amp;adb_new!F406</f>
        <v xml:space="preserve"> optm c 0.9954 </v>
      </c>
    </row>
    <row r="407" spans="1:1" x14ac:dyDescent="0.25">
      <c r="A407" t="str">
        <f ca="1">adb_new!B407&amp;" "&amp;adb_new!C407&amp;" "&amp;adb_new!D407&amp;" "&amp;adb_new!E407&amp;" "&amp;adb_new!F407</f>
        <v xml:space="preserve">    </v>
      </c>
    </row>
    <row r="408" spans="1:1" x14ac:dyDescent="0.25">
      <c r="A408" t="str">
        <f ca="1">adb_new!B408&amp;" "&amp;adb_new!C408&amp;" "&amp;adb_new!D408&amp;" "&amp;adb_new!E408&amp;" "&amp;adb_new!F408</f>
        <v xml:space="preserve"> bdi up c 329</v>
      </c>
    </row>
    <row r="409" spans="1:1" x14ac:dyDescent="0.25">
      <c r="A409" t="str">
        <f ca="1">adb_new!B409&amp;" "&amp;adb_new!C409&amp;" "&amp;adb_new!D409&amp;" "&amp;adb_new!E409&amp;" "&amp;adb_new!F409</f>
        <v xml:space="preserve"> con1c OMS1:tin c -1</v>
      </c>
    </row>
    <row r="410" spans="1:1" x14ac:dyDescent="0.25">
      <c r="A410" t="str">
        <f>adb_new!B410&amp;" "&amp;adb_new!C410&amp;" "&amp;adb_new!D410&amp;" "&amp;adb_new!E410&amp;" "&amp;adb_new!F410</f>
        <v xml:space="preserve">#    </v>
      </c>
    </row>
    <row r="411" spans="1:1" x14ac:dyDescent="0.25">
      <c r="A411" t="str">
        <f>adb_new!B411&amp;" "&amp;adb_new!C411&amp;" "&amp;adb_new!D411&amp;" "&amp;adb_new!E411&amp;" "&amp;adb_new!F411</f>
        <v xml:space="preserve">    </v>
      </c>
    </row>
    <row r="412" spans="1:1" x14ac:dyDescent="0.25">
      <c r="A412" t="str">
        <f>adb_new!B412&amp;" "&amp;adb_new!C412&amp;" "&amp;adb_new!D412&amp;" "&amp;adb_new!E412&amp;" "&amp;adb_new!F412</f>
        <v xml:space="preserve">*    </v>
      </c>
    </row>
    <row r="413" spans="1:1" x14ac:dyDescent="0.25">
      <c r="A413" t="str">
        <f ca="1">adb_new!B413&amp;" "&amp;adb_new!C413&amp;" "&amp;adb_new!D413&amp;" "&amp;adb_new!E413&amp;" "&amp;adb_new!F413</f>
        <v xml:space="preserve">ELNULICILIwCIw m   </v>
      </c>
    </row>
    <row r="414" spans="1:1" x14ac:dyDescent="0.25">
      <c r="A414" t="str">
        <f ca="1">adb_new!B414&amp;" "&amp;adb_new!C414&amp;" "&amp;adb_new!D414&amp;" "&amp;adb_new!E414&amp;" "&amp;adb_new!F414</f>
        <v xml:space="preserve"> minp e-G-LIw 1 </v>
      </c>
    </row>
    <row r="415" spans="1:1" x14ac:dyDescent="0.25">
      <c r="A415" t="str">
        <f ca="1">adb_new!B415&amp;" "&amp;adb_new!C415&amp;" "&amp;adb_new!D415&amp;" "&amp;adb_new!E415&amp;" "&amp;adb_new!F415</f>
        <v xml:space="preserve"> moutp e-B-CIw c 0.971</v>
      </c>
    </row>
    <row r="416" spans="1:1" x14ac:dyDescent="0.25">
      <c r="A416" t="str">
        <f ca="1">adb_new!B416&amp;" "&amp;adb_new!C416&amp;" "&amp;adb_new!D416&amp;" "&amp;adb_new!E416&amp;" "&amp;adb_new!F416</f>
        <v xml:space="preserve"> fyear 2020  </v>
      </c>
    </row>
    <row r="417" spans="1:1" x14ac:dyDescent="0.25">
      <c r="A417" t="str">
        <f ca="1">adb_new!B417&amp;" "&amp;adb_new!C417&amp;" "&amp;adb_new!D417&amp;" "&amp;adb_new!E417&amp;" "&amp;adb_new!F417</f>
        <v xml:space="preserve"> pll c 50 </v>
      </c>
    </row>
    <row r="418" spans="1:1" x14ac:dyDescent="0.25">
      <c r="A418" t="str">
        <f ca="1">adb_new!B418&amp;" "&amp;adb_new!C418&amp;" "&amp;adb_new!D418&amp;" "&amp;adb_new!E418&amp;" "&amp;adb_new!F418</f>
        <v xml:space="preserve"> inv c 299.7 </v>
      </c>
    </row>
    <row r="419" spans="1:1" x14ac:dyDescent="0.25">
      <c r="A419" t="str">
        <f ca="1">adb_new!B419&amp;" "&amp;adb_new!C419&amp;" "&amp;adb_new!D419&amp;" "&amp;adb_new!E419&amp;" "&amp;adb_new!F419</f>
        <v xml:space="preserve"> optm c 0.9954 </v>
      </c>
    </row>
    <row r="420" spans="1:1" x14ac:dyDescent="0.25">
      <c r="A420" t="str">
        <f ca="1">adb_new!B420&amp;" "&amp;adb_new!C420&amp;" "&amp;adb_new!D420&amp;" "&amp;adb_new!E420&amp;" "&amp;adb_new!F420</f>
        <v xml:space="preserve">    </v>
      </c>
    </row>
    <row r="421" spans="1:1" x14ac:dyDescent="0.25">
      <c r="A421" t="str">
        <f ca="1">adb_new!B421&amp;" "&amp;adb_new!C421&amp;" "&amp;adb_new!D421&amp;" "&amp;adb_new!E421&amp;" "&amp;adb_new!F421</f>
        <v xml:space="preserve"> bdi up c 329</v>
      </c>
    </row>
    <row r="422" spans="1:1" x14ac:dyDescent="0.25">
      <c r="A422" t="str">
        <f ca="1">adb_new!B422&amp;" "&amp;adb_new!C422&amp;" "&amp;adb_new!D422&amp;" "&amp;adb_new!E422&amp;" "&amp;adb_new!F422</f>
        <v xml:space="preserve"> con1c LLC1:tin c 1</v>
      </c>
    </row>
    <row r="423" spans="1:1" x14ac:dyDescent="0.25">
      <c r="A423" t="str">
        <f>adb_new!B423&amp;" "&amp;adb_new!C423&amp;" "&amp;adb_new!D423&amp;" "&amp;adb_new!E423&amp;" "&amp;adb_new!F423</f>
        <v xml:space="preserve">#    </v>
      </c>
    </row>
    <row r="424" spans="1:1" x14ac:dyDescent="0.25">
      <c r="A424" t="str">
        <f>adb_new!B424&amp;" "&amp;adb_new!C424&amp;" "&amp;adb_new!D424&amp;" "&amp;adb_new!E424&amp;" "&amp;adb_new!F424</f>
        <v xml:space="preserve">*    </v>
      </c>
    </row>
    <row r="425" spans="1:1" x14ac:dyDescent="0.25">
      <c r="A425" t="str">
        <f ca="1">adb_new!B425&amp;" "&amp;adb_new!C425&amp;" "&amp;adb_new!D425&amp;" "&amp;adb_new!E425&amp;" "&amp;adb_new!F425</f>
        <v xml:space="preserve">ELNULICICIwLIw n   </v>
      </c>
    </row>
    <row r="426" spans="1:1" x14ac:dyDescent="0.25">
      <c r="A426" t="str">
        <f ca="1">adb_new!B426&amp;" "&amp;adb_new!C426&amp;" "&amp;adb_new!D426&amp;" "&amp;adb_new!E426&amp;" "&amp;adb_new!F426</f>
        <v xml:space="preserve"> minp e-B-CIw 1 </v>
      </c>
    </row>
    <row r="427" spans="1:1" x14ac:dyDescent="0.25">
      <c r="A427" t="str">
        <f ca="1">adb_new!B427&amp;" "&amp;adb_new!C427&amp;" "&amp;adb_new!D427&amp;" "&amp;adb_new!E427&amp;" "&amp;adb_new!F427</f>
        <v xml:space="preserve"> moutp e-G-LIw c 0.971</v>
      </c>
    </row>
    <row r="428" spans="1:1" x14ac:dyDescent="0.25">
      <c r="A428" t="str">
        <f ca="1">adb_new!B428&amp;" "&amp;adb_new!C428&amp;" "&amp;adb_new!D428&amp;" "&amp;adb_new!E428&amp;" "&amp;adb_new!F428</f>
        <v xml:space="preserve"> fyear 2020  </v>
      </c>
    </row>
    <row r="429" spans="1:1" x14ac:dyDescent="0.25">
      <c r="A429" t="str">
        <f ca="1">adb_new!B429&amp;" "&amp;adb_new!C429&amp;" "&amp;adb_new!D429&amp;" "&amp;adb_new!E429&amp;" "&amp;adb_new!F429</f>
        <v xml:space="preserve"> pll c 50 </v>
      </c>
    </row>
    <row r="430" spans="1:1" x14ac:dyDescent="0.25">
      <c r="A430" t="str">
        <f ca="1">adb_new!B430&amp;" "&amp;adb_new!C430&amp;" "&amp;adb_new!D430&amp;" "&amp;adb_new!E430&amp;" "&amp;adb_new!F430</f>
        <v xml:space="preserve"> inv c 0 </v>
      </c>
    </row>
    <row r="431" spans="1:1" x14ac:dyDescent="0.25">
      <c r="A431" t="str">
        <f ca="1">adb_new!B431&amp;" "&amp;adb_new!C431&amp;" "&amp;adb_new!D431&amp;" "&amp;adb_new!E431&amp;" "&amp;adb_new!F431</f>
        <v xml:space="preserve"> optm c 0.9954 </v>
      </c>
    </row>
    <row r="432" spans="1:1" x14ac:dyDescent="0.25">
      <c r="A432" t="str">
        <f ca="1">adb_new!B432&amp;" "&amp;adb_new!C432&amp;" "&amp;adb_new!D432&amp;" "&amp;adb_new!E432&amp;" "&amp;adb_new!F432</f>
        <v xml:space="preserve">    </v>
      </c>
    </row>
    <row r="433" spans="1:1" x14ac:dyDescent="0.25">
      <c r="A433" t="str">
        <f ca="1">adb_new!B433&amp;" "&amp;adb_new!C433&amp;" "&amp;adb_new!D433&amp;" "&amp;adb_new!E433&amp;" "&amp;adb_new!F433</f>
        <v xml:space="preserve"> bdi up c 329</v>
      </c>
    </row>
    <row r="434" spans="1:1" x14ac:dyDescent="0.25">
      <c r="A434" t="str">
        <f ca="1">adb_new!B434&amp;" "&amp;adb_new!C434&amp;" "&amp;adb_new!D434&amp;" "&amp;adb_new!E434&amp;" "&amp;adb_new!F434</f>
        <v xml:space="preserve"> con1c LLC1:tin c -1</v>
      </c>
    </row>
    <row r="435" spans="1:1" x14ac:dyDescent="0.25">
      <c r="A435" t="str">
        <f>adb_new!B435&amp;" "&amp;adb_new!C435&amp;" "&amp;adb_new!D435&amp;" "&amp;adb_new!E435&amp;" "&amp;adb_new!F435</f>
        <v xml:space="preserve">#    </v>
      </c>
    </row>
    <row r="436" spans="1:1" x14ac:dyDescent="0.25">
      <c r="A436" t="str">
        <f>adb_new!B436&amp;" "&amp;adb_new!C436&amp;" "&amp;adb_new!D436&amp;" "&amp;adb_new!E436&amp;" "&amp;adb_new!F436</f>
        <v xml:space="preserve">    </v>
      </c>
    </row>
    <row r="437" spans="1:1" x14ac:dyDescent="0.25">
      <c r="A437" t="str">
        <f>adb_new!B437&amp;" "&amp;adb_new!C437&amp;" "&amp;adb_new!D437&amp;" "&amp;adb_new!E437&amp;" "&amp;adb_new!F437</f>
        <v xml:space="preserve">*    </v>
      </c>
    </row>
    <row r="438" spans="1:1" x14ac:dyDescent="0.25">
      <c r="A438" t="str">
        <f ca="1">adb_new!B438&amp;" "&amp;adb_new!C438&amp;" "&amp;adb_new!D438&amp;" "&amp;adb_new!E438&amp;" "&amp;adb_new!F438</f>
        <v xml:space="preserve">ELNUNGTBNGwTBw m   </v>
      </c>
    </row>
    <row r="439" spans="1:1" x14ac:dyDescent="0.25">
      <c r="A439" t="str">
        <f ca="1">adb_new!B439&amp;" "&amp;adb_new!C439&amp;" "&amp;adb_new!D439&amp;" "&amp;adb_new!E439&amp;" "&amp;adb_new!F439</f>
        <v xml:space="preserve"> minp e-J-NGw 1 </v>
      </c>
    </row>
    <row r="440" spans="1:1" x14ac:dyDescent="0.25">
      <c r="A440" t="str">
        <f ca="1">adb_new!B440&amp;" "&amp;adb_new!C440&amp;" "&amp;adb_new!D440&amp;" "&amp;adb_new!E440&amp;" "&amp;adb_new!F440</f>
        <v xml:space="preserve"> moutp e-M-TBw c 0.971</v>
      </c>
    </row>
    <row r="441" spans="1:1" x14ac:dyDescent="0.25">
      <c r="A441" t="str">
        <f ca="1">adb_new!B441&amp;" "&amp;adb_new!C441&amp;" "&amp;adb_new!D441&amp;" "&amp;adb_new!E441&amp;" "&amp;adb_new!F441</f>
        <v xml:space="preserve"> fyear 2016  </v>
      </c>
    </row>
    <row r="442" spans="1:1" x14ac:dyDescent="0.25">
      <c r="A442" t="str">
        <f ca="1">adb_new!B442&amp;" "&amp;adb_new!C442&amp;" "&amp;adb_new!D442&amp;" "&amp;adb_new!E442&amp;" "&amp;adb_new!F442</f>
        <v xml:space="preserve"> pll c 50 </v>
      </c>
    </row>
    <row r="443" spans="1:1" x14ac:dyDescent="0.25">
      <c r="A443" t="str">
        <f ca="1">adb_new!B443&amp;" "&amp;adb_new!C443&amp;" "&amp;adb_new!D443&amp;" "&amp;adb_new!E443&amp;" "&amp;adb_new!F443</f>
        <v xml:space="preserve"> inv c 299.7 </v>
      </c>
    </row>
    <row r="444" spans="1:1" x14ac:dyDescent="0.25">
      <c r="A444" t="str">
        <f ca="1">adb_new!B444&amp;" "&amp;adb_new!C444&amp;" "&amp;adb_new!D444&amp;" "&amp;adb_new!E444&amp;" "&amp;adb_new!F444</f>
        <v xml:space="preserve"> optm c 0.9954 </v>
      </c>
    </row>
    <row r="445" spans="1:1" x14ac:dyDescent="0.25">
      <c r="A445" t="str">
        <f ca="1">adb_new!B445&amp;" "&amp;adb_new!C445&amp;" "&amp;adb_new!D445&amp;" "&amp;adb_new!E445&amp;" "&amp;adb_new!F445</f>
        <v xml:space="preserve">    </v>
      </c>
    </row>
    <row r="446" spans="1:1" x14ac:dyDescent="0.25">
      <c r="A446" t="str">
        <f ca="1">adb_new!B446&amp;" "&amp;adb_new!C446&amp;" "&amp;adb_new!D446&amp;" "&amp;adb_new!E446&amp;" "&amp;adb_new!F446</f>
        <v xml:space="preserve"> bdi up c 329</v>
      </c>
    </row>
    <row r="447" spans="1:1" x14ac:dyDescent="0.25">
      <c r="A447" t="str">
        <f ca="1">adb_new!B447&amp;" "&amp;adb_new!C447&amp;" "&amp;adb_new!D447&amp;" "&amp;adb_new!E447&amp;" "&amp;adb_new!F447</f>
        <v xml:space="preserve"> con1c NNT1:tin c 1</v>
      </c>
    </row>
    <row r="448" spans="1:1" x14ac:dyDescent="0.25">
      <c r="A448" t="str">
        <f>adb_new!B448&amp;" "&amp;adb_new!C448&amp;" "&amp;adb_new!D448&amp;" "&amp;adb_new!E448&amp;" "&amp;adb_new!F448</f>
        <v xml:space="preserve">#    </v>
      </c>
    </row>
    <row r="449" spans="1:1" x14ac:dyDescent="0.25">
      <c r="A449" t="str">
        <f>adb_new!B449&amp;" "&amp;adb_new!C449&amp;" "&amp;adb_new!D449&amp;" "&amp;adb_new!E449&amp;" "&amp;adb_new!F449</f>
        <v xml:space="preserve">*    </v>
      </c>
    </row>
    <row r="450" spans="1:1" x14ac:dyDescent="0.25">
      <c r="A450" t="str">
        <f ca="1">adb_new!B450&amp;" "&amp;adb_new!C450&amp;" "&amp;adb_new!D450&amp;" "&amp;adb_new!E450&amp;" "&amp;adb_new!F450</f>
        <v xml:space="preserve">ELNUNGTBTBwNGw n   </v>
      </c>
    </row>
    <row r="451" spans="1:1" x14ac:dyDescent="0.25">
      <c r="A451" t="str">
        <f ca="1">adb_new!B451&amp;" "&amp;adb_new!C451&amp;" "&amp;adb_new!D451&amp;" "&amp;adb_new!E451&amp;" "&amp;adb_new!F451</f>
        <v xml:space="preserve"> minp e-M-TBw 1 </v>
      </c>
    </row>
    <row r="452" spans="1:1" x14ac:dyDescent="0.25">
      <c r="A452" t="str">
        <f ca="1">adb_new!B452&amp;" "&amp;adb_new!C452&amp;" "&amp;adb_new!D452&amp;" "&amp;adb_new!E452&amp;" "&amp;adb_new!F452</f>
        <v xml:space="preserve"> moutp e-J-NGw c 0.971</v>
      </c>
    </row>
    <row r="453" spans="1:1" x14ac:dyDescent="0.25">
      <c r="A453" t="str">
        <f ca="1">adb_new!B453&amp;" "&amp;adb_new!C453&amp;" "&amp;adb_new!D453&amp;" "&amp;adb_new!E453&amp;" "&amp;adb_new!F453</f>
        <v xml:space="preserve"> fyear 2016  </v>
      </c>
    </row>
    <row r="454" spans="1:1" x14ac:dyDescent="0.25">
      <c r="A454" t="str">
        <f ca="1">adb_new!B454&amp;" "&amp;adb_new!C454&amp;" "&amp;adb_new!D454&amp;" "&amp;adb_new!E454&amp;" "&amp;adb_new!F454</f>
        <v xml:space="preserve"> pll c 50 </v>
      </c>
    </row>
    <row r="455" spans="1:1" x14ac:dyDescent="0.25">
      <c r="A455" t="str">
        <f ca="1">adb_new!B455&amp;" "&amp;adb_new!C455&amp;" "&amp;adb_new!D455&amp;" "&amp;adb_new!E455&amp;" "&amp;adb_new!F455</f>
        <v xml:space="preserve"> inv c 0 </v>
      </c>
    </row>
    <row r="456" spans="1:1" x14ac:dyDescent="0.25">
      <c r="A456" t="str">
        <f ca="1">adb_new!B456&amp;" "&amp;adb_new!C456&amp;" "&amp;adb_new!D456&amp;" "&amp;adb_new!E456&amp;" "&amp;adb_new!F456</f>
        <v xml:space="preserve"> optm c 0.9954 </v>
      </c>
    </row>
    <row r="457" spans="1:1" x14ac:dyDescent="0.25">
      <c r="A457" t="str">
        <f ca="1">adb_new!B457&amp;" "&amp;adb_new!C457&amp;" "&amp;adb_new!D457&amp;" "&amp;adb_new!E457&amp;" "&amp;adb_new!F457</f>
        <v xml:space="preserve">    </v>
      </c>
    </row>
    <row r="458" spans="1:1" x14ac:dyDescent="0.25">
      <c r="A458" t="str">
        <f ca="1">adb_new!B458&amp;" "&amp;adb_new!C458&amp;" "&amp;adb_new!D458&amp;" "&amp;adb_new!E458&amp;" "&amp;adb_new!F458</f>
        <v xml:space="preserve"> bdi up c 329</v>
      </c>
    </row>
    <row r="459" spans="1:1" x14ac:dyDescent="0.25">
      <c r="A459" t="str">
        <f ca="1">adb_new!B459&amp;" "&amp;adb_new!C459&amp;" "&amp;adb_new!D459&amp;" "&amp;adb_new!E459&amp;" "&amp;adb_new!F459</f>
        <v xml:space="preserve"> con1c NNT1:tin c -1</v>
      </c>
    </row>
    <row r="460" spans="1:1" x14ac:dyDescent="0.25">
      <c r="A460" t="str">
        <f>adb_new!B460&amp;" "&amp;adb_new!C460&amp;" "&amp;adb_new!D460&amp;" "&amp;adb_new!E460&amp;" "&amp;adb_new!F460</f>
        <v xml:space="preserve">#    </v>
      </c>
    </row>
    <row r="461" spans="1:1" x14ac:dyDescent="0.25">
      <c r="A461" t="str">
        <f>adb_new!B461&amp;" "&amp;adb_new!C461&amp;" "&amp;adb_new!D461&amp;" "&amp;adb_new!E461&amp;" "&amp;adb_new!F461</f>
        <v xml:space="preserve">    </v>
      </c>
    </row>
    <row r="462" spans="1:1" x14ac:dyDescent="0.25">
      <c r="A462" t="str">
        <f>adb_new!B462&amp;" "&amp;adb_new!C462&amp;" "&amp;adb_new!D462&amp;" "&amp;adb_new!E462&amp;" "&amp;adb_new!F462</f>
        <v xml:space="preserve">    </v>
      </c>
    </row>
    <row r="463" spans="1:1" x14ac:dyDescent="0.25">
      <c r="A463" t="str">
        <f>adb_new!B463&amp;" "&amp;adb_new!C463&amp;" "&amp;adb_new!D463&amp;" "&amp;adb_new!E463&amp;" "&amp;adb_new!F463</f>
        <v xml:space="preserve">    </v>
      </c>
    </row>
    <row r="464" spans="1:1" x14ac:dyDescent="0.25">
      <c r="A464" t="str">
        <f>adb_new!B464&amp;" "&amp;adb_new!C464&amp;" "&amp;adb_new!D464&amp;" "&amp;adb_new!E464&amp;" "&amp;adb_new!F464</f>
        <v xml:space="preserve">    </v>
      </c>
    </row>
    <row r="465" spans="1:1" x14ac:dyDescent="0.25">
      <c r="A465" t="str">
        <f>adb_new!B465&amp;" "&amp;adb_new!C465&amp;" "&amp;adb_new!D465&amp;" "&amp;adb_new!E465&amp;" "&amp;adb_new!F465</f>
        <v xml:space="preserve">    </v>
      </c>
    </row>
    <row r="466" spans="1:1" x14ac:dyDescent="0.25">
      <c r="A466" t="str">
        <f>adb_new!B466&amp;" "&amp;adb_new!C466&amp;" "&amp;adb_new!D466&amp;" "&amp;adb_new!E466&amp;" "&amp;adb_new!F466</f>
        <v xml:space="preserve">    </v>
      </c>
    </row>
    <row r="467" spans="1:1" x14ac:dyDescent="0.25">
      <c r="A467" t="str">
        <f>adb_new!B467&amp;" "&amp;adb_new!C467&amp;" "&amp;adb_new!D467&amp;" "&amp;adb_new!E467&amp;" "&amp;adb_new!F467</f>
        <v xml:space="preserve">    </v>
      </c>
    </row>
    <row r="468" spans="1:1" x14ac:dyDescent="0.25">
      <c r="A468" t="str">
        <f>adb_new!B468&amp;" "&amp;adb_new!C468&amp;" "&amp;adb_new!D468&amp;" "&amp;adb_new!E468&amp;" "&amp;adb_new!F468</f>
        <v xml:space="preserve">    </v>
      </c>
    </row>
    <row r="469" spans="1:1" x14ac:dyDescent="0.25">
      <c r="A469" t="str">
        <f>adb_new!B469&amp;" "&amp;adb_new!C469&amp;" "&amp;adb_new!D469&amp;" "&amp;adb_new!E469&amp;" "&amp;adb_new!F469</f>
        <v xml:space="preserve">    </v>
      </c>
    </row>
    <row r="470" spans="1:1" x14ac:dyDescent="0.25">
      <c r="A470" t="str">
        <f>adb_new!B470&amp;" "&amp;adb_new!C470&amp;" "&amp;adb_new!D470&amp;" "&amp;adb_new!E470&amp;" "&amp;adb_new!F470</f>
        <v xml:space="preserve">    </v>
      </c>
    </row>
    <row r="471" spans="1:1" x14ac:dyDescent="0.25">
      <c r="A471" t="str">
        <f>adb_new!B471&amp;" "&amp;adb_new!C471&amp;" "&amp;adb_new!D471&amp;" "&amp;adb_new!E471&amp;" "&amp;adb_new!F471</f>
        <v xml:space="preserve">    </v>
      </c>
    </row>
    <row r="472" spans="1:1" x14ac:dyDescent="0.25">
      <c r="A472" t="str">
        <f>adb_new!B472&amp;" "&amp;adb_new!C472&amp;" "&amp;adb_new!D472&amp;" "&amp;adb_new!E472&amp;" "&amp;adb_new!F472</f>
        <v xml:space="preserve">    </v>
      </c>
    </row>
    <row r="473" spans="1:1" x14ac:dyDescent="0.25">
      <c r="A473" t="str">
        <f>adb_new!B473&amp;" "&amp;adb_new!C473&amp;" "&amp;adb_new!D473&amp;" "&amp;adb_new!E473&amp;" "&amp;adb_new!F473</f>
        <v xml:space="preserve">    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O46"/>
  <sheetViews>
    <sheetView workbookViewId="0"/>
  </sheetViews>
  <sheetFormatPr defaultRowHeight="15" x14ac:dyDescent="0.25"/>
  <sheetData>
    <row r="1" spans="2:15" x14ac:dyDescent="0.25">
      <c r="B1" t="s">
        <v>4</v>
      </c>
      <c r="D1" t="s">
        <v>3</v>
      </c>
    </row>
    <row r="2" spans="2:15" x14ac:dyDescent="0.25">
      <c r="D2" t="s">
        <v>82</v>
      </c>
      <c r="E2" t="s">
        <v>0</v>
      </c>
      <c r="F2" t="s">
        <v>83</v>
      </c>
      <c r="G2" t="s">
        <v>1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</row>
    <row r="3" spans="2:15" x14ac:dyDescent="0.25">
      <c r="B3" t="s">
        <v>2</v>
      </c>
      <c r="C3" t="s">
        <v>82</v>
      </c>
    </row>
    <row r="4" spans="2:15" x14ac:dyDescent="0.25">
      <c r="C4" t="s">
        <v>0</v>
      </c>
      <c r="J4">
        <v>850</v>
      </c>
      <c r="O4">
        <v>650</v>
      </c>
    </row>
    <row r="5" spans="2:15" x14ac:dyDescent="0.25">
      <c r="C5" t="s">
        <v>83</v>
      </c>
    </row>
    <row r="6" spans="2:15" x14ac:dyDescent="0.25">
      <c r="C6" t="s">
        <v>1</v>
      </c>
    </row>
    <row r="7" spans="2:15" x14ac:dyDescent="0.25">
      <c r="C7" t="s">
        <v>84</v>
      </c>
    </row>
    <row r="8" spans="2:15" x14ac:dyDescent="0.25">
      <c r="C8" t="s">
        <v>85</v>
      </c>
    </row>
    <row r="9" spans="2:15" x14ac:dyDescent="0.25">
      <c r="C9" t="s">
        <v>86</v>
      </c>
    </row>
    <row r="10" spans="2:15" x14ac:dyDescent="0.25">
      <c r="C10" t="s">
        <v>87</v>
      </c>
    </row>
    <row r="11" spans="2:15" x14ac:dyDescent="0.25">
      <c r="C11" t="s">
        <v>88</v>
      </c>
    </row>
    <row r="12" spans="2:15" x14ac:dyDescent="0.25">
      <c r="C12" t="s">
        <v>89</v>
      </c>
    </row>
    <row r="13" spans="2:15" x14ac:dyDescent="0.25">
      <c r="C13" t="s">
        <v>90</v>
      </c>
    </row>
    <row r="14" spans="2:15" x14ac:dyDescent="0.25">
      <c r="C14" t="s">
        <v>91</v>
      </c>
    </row>
    <row r="17" spans="2:15" x14ac:dyDescent="0.25">
      <c r="B17" t="s">
        <v>6</v>
      </c>
      <c r="D17" t="s">
        <v>3</v>
      </c>
    </row>
    <row r="18" spans="2:15" x14ac:dyDescent="0.25">
      <c r="D18" t="s">
        <v>82</v>
      </c>
      <c r="E18" t="s">
        <v>0</v>
      </c>
      <c r="F18" t="s">
        <v>83</v>
      </c>
      <c r="G18" t="s">
        <v>1</v>
      </c>
      <c r="H18" t="s">
        <v>84</v>
      </c>
      <c r="I18" t="s">
        <v>85</v>
      </c>
      <c r="J18" t="s">
        <v>86</v>
      </c>
      <c r="K18" t="s">
        <v>87</v>
      </c>
      <c r="L18" t="s">
        <v>88</v>
      </c>
      <c r="M18" t="s">
        <v>89</v>
      </c>
      <c r="N18" t="s">
        <v>90</v>
      </c>
      <c r="O18" t="s">
        <v>91</v>
      </c>
    </row>
    <row r="19" spans="2:15" x14ac:dyDescent="0.25">
      <c r="B19" t="s">
        <v>2</v>
      </c>
      <c r="C19" t="s">
        <v>82</v>
      </c>
    </row>
    <row r="20" spans="2:15" x14ac:dyDescent="0.25">
      <c r="C20" t="s">
        <v>0</v>
      </c>
      <c r="J20">
        <v>850</v>
      </c>
      <c r="O20">
        <v>650</v>
      </c>
    </row>
    <row r="21" spans="2:15" x14ac:dyDescent="0.25">
      <c r="C21" t="s">
        <v>83</v>
      </c>
    </row>
    <row r="22" spans="2:15" x14ac:dyDescent="0.25">
      <c r="C22" t="s">
        <v>1</v>
      </c>
    </row>
    <row r="23" spans="2:15" x14ac:dyDescent="0.25">
      <c r="C23" t="s">
        <v>84</v>
      </c>
    </row>
    <row r="24" spans="2:15" x14ac:dyDescent="0.25">
      <c r="C24" t="s">
        <v>85</v>
      </c>
    </row>
    <row r="25" spans="2:15" x14ac:dyDescent="0.25">
      <c r="C25" t="s">
        <v>86</v>
      </c>
    </row>
    <row r="26" spans="2:15" x14ac:dyDescent="0.25">
      <c r="C26" t="s">
        <v>87</v>
      </c>
    </row>
    <row r="27" spans="2:15" x14ac:dyDescent="0.25">
      <c r="C27" t="s">
        <v>88</v>
      </c>
    </row>
    <row r="28" spans="2:15" x14ac:dyDescent="0.25">
      <c r="C28" t="s">
        <v>89</v>
      </c>
    </row>
    <row r="29" spans="2:15" x14ac:dyDescent="0.25">
      <c r="C29" t="s">
        <v>90</v>
      </c>
    </row>
    <row r="30" spans="2:15" x14ac:dyDescent="0.25">
      <c r="C30" t="s">
        <v>91</v>
      </c>
    </row>
    <row r="33" spans="2:15" x14ac:dyDescent="0.25">
      <c r="B33" t="s">
        <v>5</v>
      </c>
      <c r="D33" t="s">
        <v>3</v>
      </c>
    </row>
    <row r="34" spans="2:15" x14ac:dyDescent="0.25">
      <c r="D34" t="s">
        <v>82</v>
      </c>
      <c r="E34" t="s">
        <v>0</v>
      </c>
      <c r="F34" t="s">
        <v>83</v>
      </c>
      <c r="G34" t="s">
        <v>1</v>
      </c>
      <c r="H34" t="s">
        <v>84</v>
      </c>
      <c r="I34" t="s">
        <v>85</v>
      </c>
      <c r="J34" t="s">
        <v>86</v>
      </c>
      <c r="K34" t="s">
        <v>87</v>
      </c>
      <c r="L34" t="s">
        <v>88</v>
      </c>
      <c r="M34" t="s">
        <v>89</v>
      </c>
      <c r="N34" t="s">
        <v>90</v>
      </c>
      <c r="O34" t="s">
        <v>91</v>
      </c>
    </row>
    <row r="35" spans="2:15" x14ac:dyDescent="0.25">
      <c r="B35" t="s">
        <v>2</v>
      </c>
      <c r="C35" t="s">
        <v>82</v>
      </c>
    </row>
    <row r="36" spans="2:15" x14ac:dyDescent="0.25">
      <c r="C36" t="s">
        <v>0</v>
      </c>
      <c r="J36">
        <v>850</v>
      </c>
      <c r="O36">
        <v>650</v>
      </c>
    </row>
    <row r="37" spans="2:15" x14ac:dyDescent="0.25">
      <c r="C37" t="s">
        <v>83</v>
      </c>
    </row>
    <row r="38" spans="2:15" x14ac:dyDescent="0.25">
      <c r="C38" t="s">
        <v>1</v>
      </c>
    </row>
    <row r="39" spans="2:15" x14ac:dyDescent="0.25">
      <c r="C39" t="s">
        <v>84</v>
      </c>
    </row>
    <row r="40" spans="2:15" x14ac:dyDescent="0.25">
      <c r="C40" t="s">
        <v>85</v>
      </c>
    </row>
    <row r="41" spans="2:15" x14ac:dyDescent="0.25">
      <c r="C41" t="s">
        <v>86</v>
      </c>
    </row>
    <row r="42" spans="2:15" x14ac:dyDescent="0.25">
      <c r="C42" t="s">
        <v>87</v>
      </c>
    </row>
    <row r="43" spans="2:15" x14ac:dyDescent="0.25">
      <c r="C43" t="s">
        <v>88</v>
      </c>
    </row>
    <row r="44" spans="2:15" x14ac:dyDescent="0.25">
      <c r="C44" t="s">
        <v>89</v>
      </c>
    </row>
    <row r="45" spans="2:15" x14ac:dyDescent="0.25">
      <c r="C45" t="s">
        <v>90</v>
      </c>
    </row>
    <row r="46" spans="2:15" x14ac:dyDescent="0.25">
      <c r="C46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03E42DA0CC9E41AE51D3E789C1BD78" ma:contentTypeVersion="2" ma:contentTypeDescription="Create a new document." ma:contentTypeScope="" ma:versionID="92f25c4f92432b440149d538d9ecad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C943D9-1292-46C0-AEFC-BBD303318065}"/>
</file>

<file path=customXml/itemProps2.xml><?xml version="1.0" encoding="utf-8"?>
<ds:datastoreItem xmlns:ds="http://schemas.openxmlformats.org/officeDocument/2006/customXml" ds:itemID="{2E945447-0965-446D-BD91-45C91B12EE42}"/>
</file>

<file path=customXml/itemProps3.xml><?xml version="1.0" encoding="utf-8"?>
<ds:datastoreItem xmlns:ds="http://schemas.openxmlformats.org/officeDocument/2006/customXml" ds:itemID="{055ABC8B-2188-4374-8DE4-62FE041C1F26}"/>
</file>

<file path=customXml/itemProps4.xml><?xml version="1.0" encoding="utf-8"?>
<ds:datastoreItem xmlns:ds="http://schemas.openxmlformats.org/officeDocument/2006/customXml" ds:itemID="{ADE0EEBA-A4A5-456E-AB68-0CB05F5D1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Exist_Raw</vt:lpstr>
      <vt:lpstr>MSG_Exist</vt:lpstr>
      <vt:lpstr>adb_exist</vt:lpstr>
      <vt:lpstr>adb_exist2</vt:lpstr>
      <vt:lpstr>New_Raw</vt:lpstr>
      <vt:lpstr>MSG_New</vt:lpstr>
      <vt:lpstr>adb_new</vt:lpstr>
      <vt:lpstr>adb_new2</vt:lpstr>
      <vt:lpstr>DistTables</vt:lpstr>
      <vt:lpstr>energyforms</vt:lpstr>
      <vt:lpstr>OutputTables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Merven</cp:lastModifiedBy>
  <dcterms:created xsi:type="dcterms:W3CDTF">2009-11-10T08:18:12Z</dcterms:created>
  <dcterms:modified xsi:type="dcterms:W3CDTF">2012-12-06T10:33:51Z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522905647754669</vt:r8>
  </property>
  <property fmtid="{D5CDD505-2E9C-101B-9397-08002B2CF9AE}" pid="3" name="ContentTypeId">
    <vt:lpwstr>0x010100C603E42DA0CC9E41AE51D3E789C1BD78</vt:lpwstr>
  </property>
</Properties>
</file>